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Z-PRESUPUESTO DE INVERSIONES\EXPEDIENTES TÉCNICOS APROBADOS\LINEAS DE IMPULSION\F4\Inf.4-FRENTE4\5-Metrados-F4\Metrados - Frente 04\"/>
    </mc:Choice>
  </mc:AlternateContent>
  <bookViews>
    <workbookView xWindow="9540" yWindow="12" windowWidth="9780" windowHeight="11760" tabRatio="893" firstSheet="1" activeTab="1"/>
  </bookViews>
  <sheets>
    <sheet name="RESUMEN GENERAL BASE" sheetId="39" state="hidden" r:id="rId1"/>
    <sheet name="Resúmen" sheetId="43" r:id="rId2"/>
    <sheet name="Mejoramientos" sheetId="63" r:id="rId3"/>
    <sheet name="Interferencias" sheetId="65" r:id="rId4"/>
    <sheet name="F-1" sheetId="54" state="hidden" r:id="rId5"/>
    <sheet name="F-2" sheetId="49" state="hidden" r:id="rId6"/>
    <sheet name="F-3" sheetId="51" state="hidden" r:id="rId7"/>
    <sheet name="Líneas de Impulsión" sheetId="52" r:id="rId8"/>
    <sheet name="F-5" sheetId="53" state="hidden" r:id="rId9"/>
    <sheet name="Accesorios" sheetId="61" r:id="rId10"/>
    <sheet name="F-1 (Cámaras)" sheetId="56" state="hidden" r:id="rId11"/>
    <sheet name="F-2 (Cámaras)" sheetId="57" state="hidden" r:id="rId12"/>
    <sheet name="F-3 (Cámaras)" sheetId="58" state="hidden" r:id="rId13"/>
    <sheet name="F-4 (Cámaras)" sheetId="59" r:id="rId14"/>
    <sheet name="F-5 (Cámaras)" sheetId="60" state="hidden" r:id="rId15"/>
  </sheets>
  <externalReferences>
    <externalReference r:id="rId16"/>
  </externalReferences>
  <definedNames>
    <definedName name="_xlnm.Print_Area" localSheetId="9">Accesorios!$B$2:$BN$56</definedName>
    <definedName name="_xlnm.Print_Area" localSheetId="4">'F-1'!$B$2:$BK$108</definedName>
    <definedName name="_xlnm.Print_Area" localSheetId="10">'F-1 (Cámaras)'!$B$1:$J$263</definedName>
    <definedName name="_xlnm.Print_Area" localSheetId="5">'F-2'!$B$2:$BI$56</definedName>
    <definedName name="_xlnm.Print_Area" localSheetId="11">'F-2 (Cámaras)'!$B$2:$J$219</definedName>
    <definedName name="_xlnm.Print_Area" localSheetId="6">'F-3'!$B$2:$BJ$73</definedName>
    <definedName name="_xlnm.Print_Area" localSheetId="12">'F-3 (Cámaras)'!$B$2:$J$270</definedName>
    <definedName name="_xlnm.Print_Area" localSheetId="13">'F-4 (Cámaras)'!$B$2:$J$331</definedName>
    <definedName name="_xlnm.Print_Area" localSheetId="8">'F-5'!$B$2:$BJ$92</definedName>
    <definedName name="_xlnm.Print_Area" localSheetId="14">'F-5 (Cámaras)'!$B$2:$J$112</definedName>
    <definedName name="_xlnm.Print_Area" localSheetId="3">Interferencias!$D$2:$BK$301</definedName>
    <definedName name="_xlnm.Print_Area" localSheetId="7">'Líneas de Impulsión'!$B$2:$BJ$64</definedName>
    <definedName name="_xlnm.Print_Area" localSheetId="2">Mejoramientos!$B$2:$L$474</definedName>
    <definedName name="_xlnm.Print_Area" localSheetId="1">Resúmen!$B$2:$G$915</definedName>
    <definedName name="_xlnm.Print_Area" localSheetId="0">'RESUMEN GENERAL BASE'!$B$2:$G$66</definedName>
    <definedName name="IGUAL" localSheetId="4">#REF!</definedName>
    <definedName name="IGUAL" localSheetId="5">#REF!</definedName>
    <definedName name="IGUAL" localSheetId="6">#REF!</definedName>
    <definedName name="IGUAL" localSheetId="8">#REF!</definedName>
    <definedName name="IGUAL" localSheetId="3">#REF!</definedName>
    <definedName name="IGUAL" localSheetId="7">#REF!</definedName>
    <definedName name="IGUAL" localSheetId="2">#REF!</definedName>
    <definedName name="IGUAL">#REF!</definedName>
    <definedName name="INDICES" localSheetId="9">#REF!</definedName>
    <definedName name="INDICES" localSheetId="4">#REF!</definedName>
    <definedName name="INDICES" localSheetId="5">#REF!</definedName>
    <definedName name="INDICES" localSheetId="6">#REF!</definedName>
    <definedName name="INDICES" localSheetId="8">#REF!</definedName>
    <definedName name="INDICES" localSheetId="3">#REF!</definedName>
    <definedName name="INDICES" localSheetId="7">#REF!</definedName>
    <definedName name="INDICES" localSheetId="2">#REF!</definedName>
    <definedName name="INDICES">#REF!</definedName>
    <definedName name="RANGO" localSheetId="4">#REF!</definedName>
    <definedName name="RANGO" localSheetId="5">#REF!</definedName>
    <definedName name="RANGO" localSheetId="6">#REF!</definedName>
    <definedName name="RANGO" localSheetId="8">#REF!</definedName>
    <definedName name="RANGO" localSheetId="3">#REF!</definedName>
    <definedName name="RANGO" localSheetId="7">#REF!</definedName>
    <definedName name="RANGO" localSheetId="2">#REF!</definedName>
    <definedName name="RANGO">#REF!</definedName>
    <definedName name="_xlnm.Print_Titles" localSheetId="9">Accesorios!$2:$11</definedName>
    <definedName name="_xlnm.Print_Titles" localSheetId="10">'F-1 (Cámaras)'!$1:$7</definedName>
    <definedName name="_xlnm.Print_Titles" localSheetId="11">'F-2 (Cámaras)'!$3:$8</definedName>
    <definedName name="_xlnm.Print_Titles" localSheetId="12">'F-3 (Cámaras)'!$2:$8</definedName>
    <definedName name="_xlnm.Print_Titles" localSheetId="13">'F-4 (Cámaras)'!$2:$8</definedName>
    <definedName name="_xlnm.Print_Titles" localSheetId="14">'F-5 (Cámaras)'!$2:$8</definedName>
    <definedName name="_xlnm.Print_Titles" localSheetId="3">Interferencias!$2:$11</definedName>
    <definedName name="_xlnm.Print_Titles" localSheetId="2">Mejoramientos!$2:$11</definedName>
    <definedName name="_xlnm.Print_Titles" localSheetId="1">Resúmen!$2:$11</definedName>
    <definedName name="_xlnm.Print_Titles" localSheetId="0">'RESUMEN GENERAL BASE'!$2:$11</definedName>
    <definedName name="Z_E3668F7A_83C2_45EF_92AE_FEC5F071E70A_.wvu.Cols" localSheetId="4" hidden="1">'F-1'!$D:$E,'F-1'!$AI:$AR</definedName>
    <definedName name="Z_E3668F7A_83C2_45EF_92AE_FEC5F071E70A_.wvu.Cols" localSheetId="5" hidden="1">'F-2'!$D:$E,'F-2'!$AI:$AR</definedName>
    <definedName name="Z_E3668F7A_83C2_45EF_92AE_FEC5F071E70A_.wvu.Cols" localSheetId="6" hidden="1">'F-3'!$D:$E,'F-3'!$AI:$AR</definedName>
    <definedName name="Z_E3668F7A_83C2_45EF_92AE_FEC5F071E70A_.wvu.Cols" localSheetId="8" hidden="1">'F-5'!$D:$E,'F-5'!$AI:$AR</definedName>
    <definedName name="Z_E3668F7A_83C2_45EF_92AE_FEC5F071E70A_.wvu.Cols" localSheetId="7" hidden="1">'Líneas de Impulsión'!$D:$E,'Líneas de Impulsión'!$AI:$AR</definedName>
    <definedName name="Z_E3668F7A_83C2_45EF_92AE_FEC5F071E70A_.wvu.PrintArea" localSheetId="4" hidden="1">'F-1'!$B$2:$BK$118</definedName>
    <definedName name="Z_E3668F7A_83C2_45EF_92AE_FEC5F071E70A_.wvu.PrintArea" localSheetId="5" hidden="1">'F-2'!$B$2:$BI$75</definedName>
    <definedName name="Z_E3668F7A_83C2_45EF_92AE_FEC5F071E70A_.wvu.PrintArea" localSheetId="6" hidden="1">'F-3'!$B$2:$BJ$85</definedName>
    <definedName name="Z_E3668F7A_83C2_45EF_92AE_FEC5F071E70A_.wvu.PrintArea" localSheetId="8" hidden="1">'F-5'!$B$2:$BJ$111</definedName>
    <definedName name="Z_E3668F7A_83C2_45EF_92AE_FEC5F071E70A_.wvu.PrintArea" localSheetId="7" hidden="1">'Líneas de Impulsión'!$B$2:$BJ$102</definedName>
    <definedName name="Z_E3668F7A_83C2_45EF_92AE_FEC5F071E70A_.wvu.PrintArea" localSheetId="2" hidden="1">Mejoramientos!$B$2:$L$67</definedName>
    <definedName name="Z_E3668F7A_83C2_45EF_92AE_FEC5F071E70A_.wvu.PrintArea" localSheetId="1" hidden="1">Resúmen!$B$2:$G$177</definedName>
    <definedName name="Z_E3668F7A_83C2_45EF_92AE_FEC5F071E70A_.wvu.PrintArea" localSheetId="0" hidden="1">'RESUMEN GENERAL BASE'!$B$2:$G$66</definedName>
    <definedName name="Z_E3668F7A_83C2_45EF_92AE_FEC5F071E70A_.wvu.PrintTitles" localSheetId="2" hidden="1">Mejoramientos!$2:$11</definedName>
    <definedName name="Z_E3668F7A_83C2_45EF_92AE_FEC5F071E70A_.wvu.PrintTitles" localSheetId="1" hidden="1">Resúmen!$2:$11</definedName>
    <definedName name="Z_E3668F7A_83C2_45EF_92AE_FEC5F071E70A_.wvu.PrintTitles" localSheetId="0" hidden="1">'RESUMEN GENERAL BASE'!$2:$11</definedName>
    <definedName name="Z_E3668F7A_83C2_45EF_92AE_FEC5F071E70A_.wvu.Rows" localSheetId="4" hidden="1">'F-1'!$56:$56</definedName>
    <definedName name="Z_E3668F7A_83C2_45EF_92AE_FEC5F071E70A_.wvu.Rows" localSheetId="5" hidden="1">'F-2'!$38:$38</definedName>
    <definedName name="Z_E3668F7A_83C2_45EF_92AE_FEC5F071E70A_.wvu.Rows" localSheetId="6" hidden="1">'F-3'!$40:$40</definedName>
    <definedName name="Z_E3668F7A_83C2_45EF_92AE_FEC5F071E70A_.wvu.Rows" localSheetId="8" hidden="1">'F-5'!$42:$42</definedName>
    <definedName name="Z_E3668F7A_83C2_45EF_92AE_FEC5F071E70A_.wvu.Rows" localSheetId="7" hidden="1">'Líneas de Impulsión'!$35:$35</definedName>
  </definedNames>
  <calcPr calcId="152511"/>
  <customWorkbookViews>
    <customWorkbookView name="aa" guid="{E3668F7A-83C2-45EF-92AE-FEC5F071E70A}" maximized="1" xWindow="-8" yWindow="-8" windowWidth="1936" windowHeight="1056" tabRatio="740" activeSheetId="54"/>
  </customWorkbookViews>
</workbook>
</file>

<file path=xl/calcChain.xml><?xml version="1.0" encoding="utf-8"?>
<calcChain xmlns="http://schemas.openxmlformats.org/spreadsheetml/2006/main">
  <c r="F533" i="43" l="1"/>
  <c r="F532" i="43"/>
  <c r="F531" i="43"/>
  <c r="F530" i="43"/>
  <c r="BB39" i="52" l="1"/>
  <c r="BA39" i="52"/>
  <c r="AZ39" i="52"/>
  <c r="AY39" i="52"/>
  <c r="AX39" i="52"/>
  <c r="AW39" i="52"/>
  <c r="E105" i="59" l="1"/>
  <c r="G92" i="60" l="1"/>
  <c r="E92" i="60" s="1"/>
  <c r="D92" i="60" s="1"/>
  <c r="E62" i="60"/>
  <c r="K92" i="63" l="1"/>
  <c r="F209" i="43" s="1"/>
  <c r="E92" i="63"/>
  <c r="D92" i="63"/>
  <c r="C92" i="63"/>
  <c r="D461" i="63" l="1"/>
  <c r="E461" i="63"/>
  <c r="D462" i="63"/>
  <c r="E462" i="63"/>
  <c r="D463" i="63"/>
  <c r="E463" i="63"/>
  <c r="D464" i="63"/>
  <c r="E464" i="63"/>
  <c r="D465" i="63"/>
  <c r="E465" i="63"/>
  <c r="D466" i="63"/>
  <c r="E466" i="63"/>
  <c r="D467" i="63"/>
  <c r="E467" i="63"/>
  <c r="D468" i="63"/>
  <c r="E468" i="63"/>
  <c r="D469" i="63"/>
  <c r="E469" i="63"/>
  <c r="D470" i="63"/>
  <c r="E470" i="63"/>
  <c r="D471" i="63"/>
  <c r="E471" i="63"/>
  <c r="D472" i="63"/>
  <c r="E472" i="63"/>
  <c r="C462" i="63"/>
  <c r="C463" i="63"/>
  <c r="C464" i="63"/>
  <c r="C465" i="63"/>
  <c r="C466" i="63"/>
  <c r="C467" i="63"/>
  <c r="C468" i="63"/>
  <c r="C469" i="63"/>
  <c r="C470" i="63"/>
  <c r="C471" i="63"/>
  <c r="C472" i="63"/>
  <c r="C461" i="63"/>
  <c r="D460" i="63"/>
  <c r="C460" i="63"/>
  <c r="D442" i="63"/>
  <c r="E442" i="63"/>
  <c r="D443" i="63"/>
  <c r="E443" i="63"/>
  <c r="D444" i="63"/>
  <c r="E444" i="63"/>
  <c r="D445" i="63"/>
  <c r="E445" i="63"/>
  <c r="D446" i="63"/>
  <c r="E446" i="63"/>
  <c r="D447" i="63"/>
  <c r="E447" i="63"/>
  <c r="D448" i="63"/>
  <c r="E448" i="63"/>
  <c r="D449" i="63"/>
  <c r="E449" i="63"/>
  <c r="D450" i="63"/>
  <c r="E450" i="63"/>
  <c r="D451" i="63"/>
  <c r="E451" i="63"/>
  <c r="D452" i="63"/>
  <c r="E452" i="63"/>
  <c r="D453" i="63"/>
  <c r="E453" i="63"/>
  <c r="D454" i="63"/>
  <c r="E454" i="63"/>
  <c r="D455" i="63"/>
  <c r="E455" i="63"/>
  <c r="D456" i="63"/>
  <c r="E456" i="63"/>
  <c r="D457" i="63"/>
  <c r="E457" i="63"/>
  <c r="D458" i="63"/>
  <c r="E458" i="63"/>
  <c r="D459" i="63"/>
  <c r="E459" i="63"/>
  <c r="C443" i="63"/>
  <c r="C444" i="63"/>
  <c r="C445" i="63"/>
  <c r="C446" i="63"/>
  <c r="C447" i="63"/>
  <c r="C448" i="63"/>
  <c r="C449" i="63"/>
  <c r="C450" i="63"/>
  <c r="C451" i="63"/>
  <c r="C452" i="63"/>
  <c r="C453" i="63"/>
  <c r="C454" i="63"/>
  <c r="C455" i="63"/>
  <c r="C456" i="63"/>
  <c r="C457" i="63"/>
  <c r="C458" i="63"/>
  <c r="C459" i="63"/>
  <c r="C442" i="63"/>
  <c r="D441" i="63"/>
  <c r="C441" i="63"/>
  <c r="D431" i="63"/>
  <c r="E431" i="63"/>
  <c r="D432" i="63"/>
  <c r="E432" i="63"/>
  <c r="D433" i="63"/>
  <c r="E433" i="63"/>
  <c r="D434" i="63"/>
  <c r="E434" i="63"/>
  <c r="D435" i="63"/>
  <c r="E435" i="63"/>
  <c r="D436" i="63"/>
  <c r="E436" i="63"/>
  <c r="D437" i="63"/>
  <c r="E437" i="63"/>
  <c r="D438" i="63"/>
  <c r="E438" i="63"/>
  <c r="D439" i="63"/>
  <c r="E439" i="63"/>
  <c r="D440" i="63"/>
  <c r="E440" i="63"/>
  <c r="C432" i="63"/>
  <c r="C433" i="63"/>
  <c r="C434" i="63"/>
  <c r="C435" i="63"/>
  <c r="C436" i="63"/>
  <c r="C437" i="63"/>
  <c r="C438" i="63"/>
  <c r="C439" i="63"/>
  <c r="C440" i="63"/>
  <c r="C431" i="63"/>
  <c r="D429" i="63"/>
  <c r="D430" i="63"/>
  <c r="C430" i="63"/>
  <c r="C429" i="63"/>
  <c r="D415" i="63"/>
  <c r="E415" i="63"/>
  <c r="D416" i="63"/>
  <c r="E416" i="63"/>
  <c r="D417" i="63"/>
  <c r="E417" i="63"/>
  <c r="D418" i="63"/>
  <c r="E418" i="63"/>
  <c r="D419" i="63"/>
  <c r="E419" i="63"/>
  <c r="D420" i="63"/>
  <c r="E420" i="63"/>
  <c r="D421" i="63"/>
  <c r="E421" i="63"/>
  <c r="D422" i="63"/>
  <c r="E422" i="63"/>
  <c r="D423" i="63"/>
  <c r="E423" i="63"/>
  <c r="D424" i="63"/>
  <c r="E424" i="63"/>
  <c r="D425" i="63"/>
  <c r="E425" i="63"/>
  <c r="D426" i="63"/>
  <c r="E426" i="63"/>
  <c r="D427" i="63"/>
  <c r="E427" i="63"/>
  <c r="D428" i="63"/>
  <c r="E428" i="63"/>
  <c r="C416" i="63"/>
  <c r="C417" i="63"/>
  <c r="C418" i="63"/>
  <c r="C419" i="63"/>
  <c r="C420" i="63"/>
  <c r="C421" i="63"/>
  <c r="C422" i="63"/>
  <c r="C423" i="63"/>
  <c r="C424" i="63"/>
  <c r="C425" i="63"/>
  <c r="C426" i="63"/>
  <c r="C427" i="63"/>
  <c r="C428" i="63"/>
  <c r="C415" i="63"/>
  <c r="D414" i="63"/>
  <c r="C414" i="63"/>
  <c r="D405" i="63"/>
  <c r="E405" i="63"/>
  <c r="D406" i="63"/>
  <c r="E406" i="63"/>
  <c r="D407" i="63"/>
  <c r="E407" i="63"/>
  <c r="D408" i="63"/>
  <c r="E408" i="63"/>
  <c r="D409" i="63"/>
  <c r="E409" i="63"/>
  <c r="D410" i="63"/>
  <c r="E410" i="63"/>
  <c r="D411" i="63"/>
  <c r="E411" i="63"/>
  <c r="D412" i="63"/>
  <c r="E412" i="63"/>
  <c r="D413" i="63"/>
  <c r="E413" i="63"/>
  <c r="C406" i="63"/>
  <c r="C407" i="63"/>
  <c r="C408" i="63"/>
  <c r="C409" i="63"/>
  <c r="C410" i="63"/>
  <c r="C411" i="63"/>
  <c r="C412" i="63"/>
  <c r="C413" i="63"/>
  <c r="C405" i="63"/>
  <c r="D403" i="63"/>
  <c r="D404" i="63"/>
  <c r="C404" i="63"/>
  <c r="C403" i="63"/>
  <c r="E392" i="63"/>
  <c r="E393" i="63"/>
  <c r="E394" i="63"/>
  <c r="E395" i="63"/>
  <c r="E396" i="63"/>
  <c r="E397" i="63"/>
  <c r="E398" i="63"/>
  <c r="E399" i="63"/>
  <c r="E400" i="63"/>
  <c r="E401" i="63"/>
  <c r="E402" i="63"/>
  <c r="D392" i="63"/>
  <c r="D393" i="63"/>
  <c r="D394" i="63"/>
  <c r="D395" i="63"/>
  <c r="D396" i="63"/>
  <c r="D397" i="63"/>
  <c r="D398" i="63"/>
  <c r="D399" i="63"/>
  <c r="D400" i="63"/>
  <c r="D401" i="63"/>
  <c r="D402" i="63"/>
  <c r="C393" i="63"/>
  <c r="C394" i="63"/>
  <c r="C395" i="63"/>
  <c r="C396" i="63"/>
  <c r="C397" i="63"/>
  <c r="C398" i="63"/>
  <c r="C399" i="63"/>
  <c r="C400" i="63"/>
  <c r="C401" i="63"/>
  <c r="C402" i="63"/>
  <c r="C392" i="63"/>
  <c r="D391" i="63"/>
  <c r="C391" i="63"/>
  <c r="D381" i="63"/>
  <c r="E381" i="63"/>
  <c r="D382" i="63"/>
  <c r="E382" i="63"/>
  <c r="D383" i="63"/>
  <c r="E383" i="63"/>
  <c r="D384" i="63"/>
  <c r="E384" i="63"/>
  <c r="D385" i="63"/>
  <c r="E385" i="63"/>
  <c r="D386" i="63"/>
  <c r="E386" i="63"/>
  <c r="D387" i="63"/>
  <c r="E387" i="63"/>
  <c r="D388" i="63"/>
  <c r="E388" i="63"/>
  <c r="D389" i="63"/>
  <c r="E389" i="63"/>
  <c r="D390" i="63"/>
  <c r="E390" i="63"/>
  <c r="C382" i="63"/>
  <c r="C383" i="63"/>
  <c r="C384" i="63"/>
  <c r="C385" i="63"/>
  <c r="C386" i="63"/>
  <c r="C387" i="63"/>
  <c r="C388" i="63"/>
  <c r="C389" i="63"/>
  <c r="C390" i="63"/>
  <c r="C381" i="63"/>
  <c r="D379" i="63"/>
  <c r="D380" i="63"/>
  <c r="C380" i="63"/>
  <c r="C379" i="63"/>
  <c r="G369" i="63"/>
  <c r="K369" i="63" s="1"/>
  <c r="D367" i="63"/>
  <c r="E367" i="63"/>
  <c r="D368" i="63"/>
  <c r="E368" i="63"/>
  <c r="D369" i="63"/>
  <c r="E369" i="63"/>
  <c r="D370" i="63"/>
  <c r="E370" i="63"/>
  <c r="D371" i="63"/>
  <c r="E371" i="63"/>
  <c r="D372" i="63"/>
  <c r="E372" i="63"/>
  <c r="D373" i="63"/>
  <c r="E373" i="63"/>
  <c r="D374" i="63"/>
  <c r="E374" i="63"/>
  <c r="D375" i="63"/>
  <c r="E375" i="63"/>
  <c r="D376" i="63"/>
  <c r="E376" i="63"/>
  <c r="D377" i="63"/>
  <c r="E377" i="63"/>
  <c r="D378" i="63"/>
  <c r="E378" i="63"/>
  <c r="C368" i="63"/>
  <c r="C369" i="63"/>
  <c r="C370" i="63"/>
  <c r="C371" i="63"/>
  <c r="C372" i="63"/>
  <c r="C373" i="63"/>
  <c r="C374" i="63"/>
  <c r="C375" i="63"/>
  <c r="C376" i="63"/>
  <c r="C377" i="63"/>
  <c r="C378" i="63"/>
  <c r="C367" i="63"/>
  <c r="D366" i="63"/>
  <c r="C366" i="63"/>
  <c r="D362" i="63"/>
  <c r="E362" i="63"/>
  <c r="D363" i="63"/>
  <c r="E363" i="63"/>
  <c r="D364" i="63"/>
  <c r="E364" i="63"/>
  <c r="D365" i="63"/>
  <c r="E365" i="63"/>
  <c r="C363" i="63"/>
  <c r="C364" i="63"/>
  <c r="C365" i="63"/>
  <c r="C362" i="63"/>
  <c r="D361" i="63"/>
  <c r="C361" i="63"/>
  <c r="E352" i="63"/>
  <c r="E353" i="63"/>
  <c r="E354" i="63"/>
  <c r="E355" i="63"/>
  <c r="E356" i="63"/>
  <c r="E357" i="63"/>
  <c r="E358" i="63"/>
  <c r="E359" i="63"/>
  <c r="E360" i="63"/>
  <c r="D352" i="63"/>
  <c r="D353" i="63"/>
  <c r="D354" i="63"/>
  <c r="D355" i="63"/>
  <c r="D356" i="63"/>
  <c r="D357" i="63"/>
  <c r="D358" i="63"/>
  <c r="D359" i="63"/>
  <c r="D360" i="63"/>
  <c r="C353" i="63"/>
  <c r="C354" i="63"/>
  <c r="C355" i="63"/>
  <c r="C356" i="63"/>
  <c r="C357" i="63"/>
  <c r="C358" i="63"/>
  <c r="C359" i="63"/>
  <c r="C360" i="63"/>
  <c r="C352" i="63"/>
  <c r="D349" i="63"/>
  <c r="D350" i="63"/>
  <c r="D351" i="63"/>
  <c r="C351" i="63"/>
  <c r="C350" i="63"/>
  <c r="C349" i="63"/>
  <c r="D341" i="63"/>
  <c r="E341" i="63"/>
  <c r="D342" i="63"/>
  <c r="E342" i="63"/>
  <c r="D343" i="63"/>
  <c r="E343" i="63"/>
  <c r="D344" i="63"/>
  <c r="E344" i="63"/>
  <c r="D345" i="63"/>
  <c r="E345" i="63"/>
  <c r="D346" i="63"/>
  <c r="E346" i="63"/>
  <c r="D347" i="63"/>
  <c r="E347" i="63"/>
  <c r="D348" i="63"/>
  <c r="E348" i="63"/>
  <c r="C342" i="63"/>
  <c r="C343" i="63"/>
  <c r="C344" i="63"/>
  <c r="C345" i="63"/>
  <c r="C346" i="63"/>
  <c r="C347" i="63"/>
  <c r="C348" i="63"/>
  <c r="C341" i="63"/>
  <c r="D338" i="63"/>
  <c r="D339" i="63"/>
  <c r="D340" i="63"/>
  <c r="C340" i="63"/>
  <c r="C339" i="63"/>
  <c r="C338" i="63"/>
  <c r="D280" i="63"/>
  <c r="E280" i="63"/>
  <c r="D285" i="63"/>
  <c r="E285" i="63"/>
  <c r="D290" i="63"/>
  <c r="E290" i="63"/>
  <c r="D294" i="63"/>
  <c r="E294" i="63"/>
  <c r="E309" i="63"/>
  <c r="D299" i="63"/>
  <c r="E299" i="63"/>
  <c r="D304" i="63"/>
  <c r="E304" i="63"/>
  <c r="D309" i="63"/>
  <c r="D314" i="63"/>
  <c r="E314" i="63"/>
  <c r="D319" i="63"/>
  <c r="E319" i="63"/>
  <c r="D324" i="63"/>
  <c r="E324" i="63"/>
  <c r="D334" i="63"/>
  <c r="E334" i="63"/>
  <c r="C334" i="63"/>
  <c r="C324" i="63"/>
  <c r="C319" i="63"/>
  <c r="C314" i="63"/>
  <c r="C309" i="63"/>
  <c r="C304" i="63"/>
  <c r="C299" i="63"/>
  <c r="C294" i="63"/>
  <c r="C290" i="63"/>
  <c r="C285" i="63"/>
  <c r="C280" i="63"/>
  <c r="D273" i="63"/>
  <c r="E273" i="63"/>
  <c r="D274" i="63"/>
  <c r="E274" i="63"/>
  <c r="D275" i="63"/>
  <c r="E275" i="63"/>
  <c r="C275" i="63"/>
  <c r="C274" i="63"/>
  <c r="C273" i="63"/>
  <c r="D272" i="63"/>
  <c r="C272" i="63"/>
  <c r="E262" i="63"/>
  <c r="E263" i="63"/>
  <c r="E264" i="63"/>
  <c r="E265" i="63"/>
  <c r="E266" i="63"/>
  <c r="E267" i="63"/>
  <c r="E268" i="63"/>
  <c r="D269" i="63"/>
  <c r="E269" i="63"/>
  <c r="D270" i="63"/>
  <c r="E270" i="63"/>
  <c r="D271" i="63"/>
  <c r="E271" i="63"/>
  <c r="D266" i="63"/>
  <c r="D267" i="63"/>
  <c r="D268" i="63"/>
  <c r="D262" i="63"/>
  <c r="D263" i="63"/>
  <c r="D264" i="63"/>
  <c r="D265" i="63"/>
  <c r="C266" i="63"/>
  <c r="C267" i="63"/>
  <c r="C268" i="63"/>
  <c r="C269" i="63"/>
  <c r="C270" i="63"/>
  <c r="C271" i="63"/>
  <c r="C263" i="63"/>
  <c r="C264" i="63"/>
  <c r="C265" i="63"/>
  <c r="C262" i="63"/>
  <c r="D261" i="63"/>
  <c r="C261" i="63"/>
  <c r="D259" i="63"/>
  <c r="D260" i="63"/>
  <c r="D254" i="63"/>
  <c r="D255" i="63"/>
  <c r="D251" i="63"/>
  <c r="D252" i="63"/>
  <c r="D253" i="63"/>
  <c r="D250" i="63"/>
  <c r="D249" i="63"/>
  <c r="E254" i="63"/>
  <c r="D256" i="63"/>
  <c r="E256" i="63"/>
  <c r="D257" i="63"/>
  <c r="E257" i="63"/>
  <c r="D258" i="63"/>
  <c r="E258" i="63"/>
  <c r="C250" i="63"/>
  <c r="C251" i="63"/>
  <c r="C252" i="63"/>
  <c r="C253" i="63"/>
  <c r="C254" i="63"/>
  <c r="C255" i="63"/>
  <c r="C256" i="63"/>
  <c r="C257" i="63"/>
  <c r="C258" i="63"/>
  <c r="C259" i="63"/>
  <c r="C260" i="63"/>
  <c r="C249" i="63"/>
  <c r="D248" i="63"/>
  <c r="C248" i="63"/>
  <c r="D238" i="63"/>
  <c r="D239" i="63"/>
  <c r="D240" i="63"/>
  <c r="D241" i="63"/>
  <c r="D242" i="63"/>
  <c r="D243" i="63"/>
  <c r="D244" i="63"/>
  <c r="D245" i="63"/>
  <c r="D246" i="63"/>
  <c r="D247" i="63"/>
  <c r="C239" i="63"/>
  <c r="C240" i="63"/>
  <c r="C241" i="63"/>
  <c r="C242" i="63"/>
  <c r="C243" i="63"/>
  <c r="C244" i="63"/>
  <c r="C245" i="63"/>
  <c r="C246" i="63"/>
  <c r="C247" i="63"/>
  <c r="C238" i="63"/>
  <c r="D236" i="63"/>
  <c r="D237" i="63"/>
  <c r="C237" i="63"/>
  <c r="C236" i="63"/>
  <c r="E228" i="63"/>
  <c r="E229" i="63"/>
  <c r="E230" i="63"/>
  <c r="E231" i="63"/>
  <c r="E232" i="63"/>
  <c r="E233" i="63"/>
  <c r="E234" i="63"/>
  <c r="E235" i="63"/>
  <c r="D228" i="63"/>
  <c r="D229" i="63"/>
  <c r="D230" i="63"/>
  <c r="D231" i="63"/>
  <c r="D232" i="63"/>
  <c r="D233" i="63"/>
  <c r="D234" i="63"/>
  <c r="D235" i="63"/>
  <c r="C229" i="63"/>
  <c r="C230" i="63"/>
  <c r="C231" i="63"/>
  <c r="C232" i="63"/>
  <c r="C233" i="63"/>
  <c r="C234" i="63"/>
  <c r="C235" i="63"/>
  <c r="C228" i="63"/>
  <c r="D226" i="63"/>
  <c r="D227" i="63"/>
  <c r="C227" i="63"/>
  <c r="C226" i="63"/>
  <c r="D219" i="63"/>
  <c r="E219" i="63"/>
  <c r="D220" i="63"/>
  <c r="E220" i="63"/>
  <c r="D221" i="63"/>
  <c r="E221" i="63"/>
  <c r="D222" i="63"/>
  <c r="E222" i="63"/>
  <c r="D223" i="63"/>
  <c r="E223" i="63"/>
  <c r="D224" i="63"/>
  <c r="E224" i="63"/>
  <c r="D225" i="63"/>
  <c r="E225" i="63"/>
  <c r="C220" i="63"/>
  <c r="C221" i="63"/>
  <c r="C222" i="63"/>
  <c r="C223" i="63"/>
  <c r="C224" i="63"/>
  <c r="C225" i="63"/>
  <c r="C219" i="63"/>
  <c r="D209" i="63"/>
  <c r="E209" i="63"/>
  <c r="D210" i="63"/>
  <c r="E210" i="63"/>
  <c r="D211" i="63"/>
  <c r="E211" i="63"/>
  <c r="D212" i="63"/>
  <c r="E212" i="63"/>
  <c r="C212" i="63"/>
  <c r="C211" i="63"/>
  <c r="C210" i="63"/>
  <c r="C209" i="63"/>
  <c r="E198" i="63"/>
  <c r="E199" i="63"/>
  <c r="E200" i="63"/>
  <c r="E201" i="63"/>
  <c r="E202" i="63"/>
  <c r="E203" i="63"/>
  <c r="E204" i="63"/>
  <c r="E205" i="63"/>
  <c r="E206" i="63"/>
  <c r="E207" i="63"/>
  <c r="E208" i="63"/>
  <c r="D198" i="63"/>
  <c r="D199" i="63"/>
  <c r="D200" i="63"/>
  <c r="D201" i="63"/>
  <c r="D202" i="63"/>
  <c r="D203" i="63"/>
  <c r="D204" i="63"/>
  <c r="D205" i="63"/>
  <c r="D206" i="63"/>
  <c r="D207" i="63"/>
  <c r="D208" i="63"/>
  <c r="C199" i="63"/>
  <c r="C200" i="63"/>
  <c r="C201" i="63"/>
  <c r="C202" i="63"/>
  <c r="C203" i="63"/>
  <c r="C204" i="63"/>
  <c r="C205" i="63"/>
  <c r="C206" i="63"/>
  <c r="C207" i="63"/>
  <c r="C208" i="63"/>
  <c r="C198" i="63"/>
  <c r="D197" i="63"/>
  <c r="C197" i="63"/>
  <c r="G195" i="63"/>
  <c r="E188" i="63"/>
  <c r="E189" i="63"/>
  <c r="E190" i="63"/>
  <c r="E191" i="63"/>
  <c r="E192" i="63"/>
  <c r="E193" i="63"/>
  <c r="E194" i="63"/>
  <c r="E195" i="63"/>
  <c r="E196" i="63"/>
  <c r="D188" i="63"/>
  <c r="D189" i="63"/>
  <c r="D190" i="63"/>
  <c r="D191" i="63"/>
  <c r="D192" i="63"/>
  <c r="D193" i="63"/>
  <c r="D194" i="63"/>
  <c r="D195" i="63"/>
  <c r="D196" i="63"/>
  <c r="C189" i="63"/>
  <c r="C190" i="63"/>
  <c r="C191" i="63"/>
  <c r="C192" i="63"/>
  <c r="C193" i="63"/>
  <c r="C194" i="63"/>
  <c r="C195" i="63"/>
  <c r="C196" i="63"/>
  <c r="C188" i="63"/>
  <c r="D187" i="63"/>
  <c r="C187" i="63"/>
  <c r="E177" i="63"/>
  <c r="E178" i="63"/>
  <c r="E179" i="63"/>
  <c r="E180" i="63"/>
  <c r="E181" i="63"/>
  <c r="E182" i="63"/>
  <c r="E183" i="63"/>
  <c r="E184" i="63"/>
  <c r="E185" i="63"/>
  <c r="E186" i="63"/>
  <c r="D177" i="63"/>
  <c r="D178" i="63"/>
  <c r="D179" i="63"/>
  <c r="D180" i="63"/>
  <c r="D181" i="63"/>
  <c r="D182" i="63"/>
  <c r="D183" i="63"/>
  <c r="D184" i="63"/>
  <c r="D185" i="63"/>
  <c r="D186" i="63"/>
  <c r="C178" i="63"/>
  <c r="C179" i="63"/>
  <c r="C180" i="63"/>
  <c r="C181" i="63"/>
  <c r="C182" i="63"/>
  <c r="C183" i="63"/>
  <c r="C184" i="63"/>
  <c r="C185" i="63"/>
  <c r="C186" i="63"/>
  <c r="F179" i="63"/>
  <c r="C177" i="63"/>
  <c r="D176" i="63"/>
  <c r="C176" i="63"/>
  <c r="D166" i="63"/>
  <c r="E166" i="63"/>
  <c r="D167" i="63"/>
  <c r="E167" i="63"/>
  <c r="D168" i="63"/>
  <c r="E168" i="63"/>
  <c r="D169" i="63"/>
  <c r="E169" i="63"/>
  <c r="D170" i="63"/>
  <c r="E170" i="63"/>
  <c r="D171" i="63"/>
  <c r="E171" i="63"/>
  <c r="D172" i="63"/>
  <c r="E172" i="63"/>
  <c r="D173" i="63"/>
  <c r="E173" i="63"/>
  <c r="D174" i="63"/>
  <c r="E174" i="63"/>
  <c r="D175" i="63"/>
  <c r="E175" i="63"/>
  <c r="C167" i="63"/>
  <c r="C168" i="63"/>
  <c r="C169" i="63"/>
  <c r="C170" i="63"/>
  <c r="C171" i="63"/>
  <c r="C172" i="63"/>
  <c r="C173" i="63"/>
  <c r="C174" i="63"/>
  <c r="C175" i="63"/>
  <c r="C166" i="63"/>
  <c r="D163" i="63"/>
  <c r="D164" i="63"/>
  <c r="D165" i="63"/>
  <c r="C165" i="63"/>
  <c r="C164" i="63"/>
  <c r="C163" i="63"/>
  <c r="D155" i="63"/>
  <c r="E155" i="63"/>
  <c r="D156" i="63"/>
  <c r="E156" i="63"/>
  <c r="D157" i="63"/>
  <c r="E157" i="63"/>
  <c r="D158" i="63"/>
  <c r="E158" i="63"/>
  <c r="D159" i="63"/>
  <c r="E159" i="63"/>
  <c r="D160" i="63"/>
  <c r="E160" i="63"/>
  <c r="D161" i="63"/>
  <c r="E161" i="63"/>
  <c r="D162" i="63"/>
  <c r="E162" i="63"/>
  <c r="C156" i="63"/>
  <c r="C157" i="63"/>
  <c r="C158" i="63"/>
  <c r="C159" i="63"/>
  <c r="C160" i="63"/>
  <c r="C161" i="63"/>
  <c r="C162" i="63"/>
  <c r="C155" i="63"/>
  <c r="D146" i="63"/>
  <c r="E146" i="63"/>
  <c r="D147" i="63"/>
  <c r="E147" i="63"/>
  <c r="D148" i="63"/>
  <c r="E148" i="63"/>
  <c r="D149" i="63"/>
  <c r="E149" i="63"/>
  <c r="C149" i="63"/>
  <c r="C148" i="63"/>
  <c r="C147" i="63"/>
  <c r="C146" i="63"/>
  <c r="D137" i="63"/>
  <c r="E137" i="63"/>
  <c r="D138" i="63"/>
  <c r="E138" i="63"/>
  <c r="D139" i="63"/>
  <c r="E139" i="63"/>
  <c r="D140" i="63"/>
  <c r="E140" i="63"/>
  <c r="D141" i="63"/>
  <c r="E141" i="63"/>
  <c r="D142" i="63"/>
  <c r="E142" i="63"/>
  <c r="D143" i="63"/>
  <c r="E143" i="63"/>
  <c r="D144" i="63"/>
  <c r="E144" i="63"/>
  <c r="D145" i="63"/>
  <c r="E145" i="63"/>
  <c r="C141" i="63"/>
  <c r="C142" i="63"/>
  <c r="C143" i="63"/>
  <c r="C144" i="63"/>
  <c r="C145" i="63"/>
  <c r="C138" i="63"/>
  <c r="C139" i="63"/>
  <c r="C140" i="63"/>
  <c r="C137" i="63"/>
  <c r="D136" i="63"/>
  <c r="C136" i="63"/>
  <c r="D116" i="63"/>
  <c r="E116" i="63"/>
  <c r="D117" i="63"/>
  <c r="E117" i="63"/>
  <c r="D118" i="63"/>
  <c r="E118" i="63"/>
  <c r="D119" i="63"/>
  <c r="E119" i="63"/>
  <c r="D120" i="63"/>
  <c r="E120" i="63"/>
  <c r="D121" i="63"/>
  <c r="E121" i="63"/>
  <c r="D122" i="63"/>
  <c r="E122" i="63"/>
  <c r="D123" i="63"/>
  <c r="E123" i="63"/>
  <c r="D124" i="63"/>
  <c r="E124" i="63"/>
  <c r="D125" i="63"/>
  <c r="E125" i="63"/>
  <c r="D126" i="63"/>
  <c r="E126" i="63"/>
  <c r="D127" i="63"/>
  <c r="E127" i="63"/>
  <c r="D128" i="63"/>
  <c r="E128" i="63"/>
  <c r="D129" i="63"/>
  <c r="E129" i="63"/>
  <c r="D130" i="63"/>
  <c r="E130" i="63"/>
  <c r="D131" i="63"/>
  <c r="E131" i="63"/>
  <c r="D132" i="63"/>
  <c r="E132" i="63"/>
  <c r="D133" i="63"/>
  <c r="E133" i="63"/>
  <c r="D134" i="63"/>
  <c r="E134" i="63"/>
  <c r="D135" i="63"/>
  <c r="E135" i="63"/>
  <c r="C117" i="63"/>
  <c r="C118" i="63"/>
  <c r="C119" i="63"/>
  <c r="C120" i="63"/>
  <c r="C121" i="63"/>
  <c r="C122" i="63"/>
  <c r="C123" i="63"/>
  <c r="C124" i="63"/>
  <c r="C125" i="63"/>
  <c r="C126" i="63"/>
  <c r="C127" i="63"/>
  <c r="C128" i="63"/>
  <c r="C129" i="63"/>
  <c r="C130" i="63"/>
  <c r="C131" i="63"/>
  <c r="C132" i="63"/>
  <c r="C133" i="63"/>
  <c r="C134" i="63"/>
  <c r="C135" i="63"/>
  <c r="C116" i="63"/>
  <c r="D114" i="63"/>
  <c r="D115" i="63"/>
  <c r="C115" i="63"/>
  <c r="C114" i="63"/>
  <c r="D107" i="63"/>
  <c r="E107" i="63"/>
  <c r="D108" i="63"/>
  <c r="E108" i="63"/>
  <c r="D109" i="63"/>
  <c r="E109" i="63"/>
  <c r="D110" i="63"/>
  <c r="E110" i="63"/>
  <c r="D111" i="63"/>
  <c r="E111" i="63"/>
  <c r="D112" i="63"/>
  <c r="E112" i="63"/>
  <c r="D113" i="63"/>
  <c r="E113" i="63"/>
  <c r="C108" i="63"/>
  <c r="C109" i="63"/>
  <c r="C110" i="63"/>
  <c r="C111" i="63"/>
  <c r="C112" i="63"/>
  <c r="C113" i="63"/>
  <c r="C107" i="63"/>
  <c r="D96" i="63"/>
  <c r="E96" i="63"/>
  <c r="D97" i="63"/>
  <c r="E97" i="63"/>
  <c r="D98" i="63"/>
  <c r="E98" i="63"/>
  <c r="C98" i="63"/>
  <c r="C97" i="63"/>
  <c r="C96" i="63"/>
  <c r="C95" i="63"/>
  <c r="D80" i="63"/>
  <c r="E80" i="63"/>
  <c r="D81" i="63"/>
  <c r="E81" i="63"/>
  <c r="D82" i="63"/>
  <c r="E82" i="63"/>
  <c r="D83" i="63"/>
  <c r="E83" i="63"/>
  <c r="D84" i="63"/>
  <c r="E84" i="63"/>
  <c r="D85" i="63"/>
  <c r="E85" i="63"/>
  <c r="D86" i="63"/>
  <c r="E86" i="63"/>
  <c r="D87" i="63"/>
  <c r="E87" i="63"/>
  <c r="D88" i="63"/>
  <c r="E88" i="63"/>
  <c r="D89" i="63"/>
  <c r="E89" i="63"/>
  <c r="D90" i="63"/>
  <c r="E90" i="63"/>
  <c r="D91" i="63"/>
  <c r="E91" i="63"/>
  <c r="D93" i="63"/>
  <c r="E93" i="63"/>
  <c r="D94" i="63"/>
  <c r="E94" i="63"/>
  <c r="C81" i="63"/>
  <c r="C82" i="63"/>
  <c r="C83" i="63"/>
  <c r="C84" i="63"/>
  <c r="C85" i="63"/>
  <c r="C86" i="63"/>
  <c r="C87" i="63"/>
  <c r="C88" i="63"/>
  <c r="C89" i="63"/>
  <c r="C90" i="63"/>
  <c r="C91" i="63"/>
  <c r="C93" i="63"/>
  <c r="C94" i="63"/>
  <c r="C80" i="63"/>
  <c r="D79" i="63"/>
  <c r="C79" i="63"/>
  <c r="D64" i="63"/>
  <c r="E64" i="63"/>
  <c r="D65" i="63"/>
  <c r="E65" i="63"/>
  <c r="D66" i="63"/>
  <c r="E66" i="63"/>
  <c r="D67" i="63"/>
  <c r="E67" i="63"/>
  <c r="D68" i="63"/>
  <c r="E68" i="63"/>
  <c r="D69" i="63"/>
  <c r="E69" i="63"/>
  <c r="D70" i="63"/>
  <c r="E70" i="63"/>
  <c r="D71" i="63"/>
  <c r="E71" i="63"/>
  <c r="D72" i="63"/>
  <c r="E72" i="63"/>
  <c r="D73" i="63"/>
  <c r="E73" i="63"/>
  <c r="D74" i="63"/>
  <c r="E74" i="63"/>
  <c r="D75" i="63"/>
  <c r="E75" i="63"/>
  <c r="D76" i="63"/>
  <c r="E76" i="63"/>
  <c r="D77" i="63"/>
  <c r="E77" i="63"/>
  <c r="D78" i="63"/>
  <c r="E78" i="63"/>
  <c r="C65" i="63"/>
  <c r="C66" i="63"/>
  <c r="C67" i="63"/>
  <c r="C68" i="63"/>
  <c r="C69" i="63"/>
  <c r="C70" i="63"/>
  <c r="C71" i="63"/>
  <c r="C72" i="63"/>
  <c r="C73" i="63"/>
  <c r="C74" i="63"/>
  <c r="C75" i="63"/>
  <c r="C76" i="63"/>
  <c r="C77" i="63"/>
  <c r="C78" i="63"/>
  <c r="C64" i="63"/>
  <c r="D63" i="63"/>
  <c r="C63" i="63"/>
  <c r="D46" i="63"/>
  <c r="E46" i="63"/>
  <c r="D47" i="63"/>
  <c r="E47" i="63"/>
  <c r="D48" i="63"/>
  <c r="E48" i="63"/>
  <c r="D49" i="63"/>
  <c r="E49" i="63"/>
  <c r="D50" i="63"/>
  <c r="E50" i="63"/>
  <c r="D51" i="63"/>
  <c r="E51" i="63"/>
  <c r="D52" i="63"/>
  <c r="E52" i="63"/>
  <c r="D53" i="63"/>
  <c r="E53" i="63"/>
  <c r="D54" i="63"/>
  <c r="E54" i="63"/>
  <c r="D55" i="63"/>
  <c r="E55" i="63"/>
  <c r="D56" i="63"/>
  <c r="E56" i="63"/>
  <c r="D57" i="63"/>
  <c r="E57" i="63"/>
  <c r="D58" i="63"/>
  <c r="E58" i="63"/>
  <c r="D59" i="63"/>
  <c r="E59" i="63"/>
  <c r="D60" i="63"/>
  <c r="E60" i="63"/>
  <c r="D61" i="63"/>
  <c r="E61" i="63"/>
  <c r="D62" i="63"/>
  <c r="E62" i="63"/>
  <c r="C47" i="63"/>
  <c r="C48" i="63"/>
  <c r="C49" i="63"/>
  <c r="C50" i="63"/>
  <c r="C51" i="63"/>
  <c r="C52" i="63"/>
  <c r="C53" i="63"/>
  <c r="C54" i="63"/>
  <c r="C55" i="63"/>
  <c r="C56" i="63"/>
  <c r="C57" i="63"/>
  <c r="C58" i="63"/>
  <c r="C59" i="63"/>
  <c r="C60" i="63"/>
  <c r="C61" i="63"/>
  <c r="C62" i="63"/>
  <c r="C46" i="63"/>
  <c r="D45" i="63"/>
  <c r="C45" i="63"/>
  <c r="D37" i="63"/>
  <c r="D38" i="63"/>
  <c r="D39" i="63"/>
  <c r="D40" i="63"/>
  <c r="D41" i="63"/>
  <c r="D42" i="63"/>
  <c r="D43" i="63"/>
  <c r="D44" i="63"/>
  <c r="C38" i="63"/>
  <c r="C39" i="63"/>
  <c r="C40" i="63"/>
  <c r="C41" i="63"/>
  <c r="C42" i="63"/>
  <c r="C43" i="63"/>
  <c r="C44" i="63"/>
  <c r="C37" i="63"/>
  <c r="D36" i="63"/>
  <c r="C36" i="63"/>
  <c r="D28" i="63"/>
  <c r="E28" i="63"/>
  <c r="D29" i="63"/>
  <c r="E29" i="63"/>
  <c r="D30" i="63"/>
  <c r="E30" i="63"/>
  <c r="D31" i="63"/>
  <c r="E31" i="63"/>
  <c r="D32" i="63"/>
  <c r="E32" i="63"/>
  <c r="D33" i="63"/>
  <c r="E33" i="63"/>
  <c r="D34" i="63"/>
  <c r="E34" i="63"/>
  <c r="D35" i="63"/>
  <c r="E35" i="63"/>
  <c r="C34" i="63"/>
  <c r="C35" i="63"/>
  <c r="C29" i="63"/>
  <c r="C30" i="63"/>
  <c r="C31" i="63"/>
  <c r="C32" i="63"/>
  <c r="C33" i="63"/>
  <c r="C28" i="63"/>
  <c r="D27" i="63"/>
  <c r="C27" i="63"/>
  <c r="D26" i="63"/>
  <c r="C26" i="63"/>
  <c r="D18" i="63"/>
  <c r="E18" i="63"/>
  <c r="D19" i="63"/>
  <c r="E19" i="63"/>
  <c r="D20" i="63"/>
  <c r="E20" i="63"/>
  <c r="D21" i="63"/>
  <c r="E21" i="63"/>
  <c r="D22" i="63"/>
  <c r="E22" i="63"/>
  <c r="D23" i="63"/>
  <c r="E23" i="63"/>
  <c r="D24" i="63"/>
  <c r="E24" i="63"/>
  <c r="D25" i="63"/>
  <c r="E25" i="63"/>
  <c r="C19" i="63"/>
  <c r="C20" i="63"/>
  <c r="C21" i="63"/>
  <c r="C22" i="63"/>
  <c r="C23" i="63"/>
  <c r="C24" i="63"/>
  <c r="C25" i="63"/>
  <c r="C18" i="63"/>
  <c r="D14" i="63"/>
  <c r="E14" i="63"/>
  <c r="C14" i="63"/>
  <c r="D13" i="63"/>
  <c r="D12" i="63"/>
  <c r="C12" i="63"/>
  <c r="C13" i="63"/>
  <c r="D11" i="63"/>
  <c r="C11" i="63"/>
  <c r="K448" i="63"/>
  <c r="F854" i="43" s="1"/>
  <c r="K449" i="63"/>
  <c r="F855" i="43" s="1"/>
  <c r="K450" i="63"/>
  <c r="F856" i="43" s="1"/>
  <c r="K451" i="63"/>
  <c r="F857" i="43" s="1"/>
  <c r="K452" i="63"/>
  <c r="K440" i="63"/>
  <c r="F846" i="43" s="1"/>
  <c r="G426" i="63"/>
  <c r="K422" i="63"/>
  <c r="G400" i="63"/>
  <c r="K397" i="63"/>
  <c r="F803" i="43" s="1"/>
  <c r="K398" i="63"/>
  <c r="F804" i="43" s="1"/>
  <c r="K390" i="63"/>
  <c r="F796" i="43" s="1"/>
  <c r="K367" i="63"/>
  <c r="K264" i="63"/>
  <c r="F599" i="43" s="1"/>
  <c r="G260" i="63"/>
  <c r="K258" i="63"/>
  <c r="F593" i="43" s="1"/>
  <c r="K257" i="63"/>
  <c r="F592" i="43" s="1"/>
  <c r="K256" i="63"/>
  <c r="F591" i="43" s="1"/>
  <c r="K254" i="63"/>
  <c r="F589" i="43" s="1"/>
  <c r="K247" i="63"/>
  <c r="F582" i="43" s="1"/>
  <c r="E247" i="63"/>
  <c r="K228" i="63"/>
  <c r="K199" i="63"/>
  <c r="F443" i="43" s="1"/>
  <c r="K175" i="63"/>
  <c r="F419" i="43" s="1"/>
  <c r="K155" i="63"/>
  <c r="K156" i="63"/>
  <c r="K157" i="63"/>
  <c r="K160" i="63"/>
  <c r="K140" i="63"/>
  <c r="F315" i="43" s="1"/>
  <c r="K119" i="63"/>
  <c r="F295" i="43" s="1"/>
  <c r="K46" i="63"/>
  <c r="F116" i="43" s="1"/>
  <c r="K28" i="63"/>
  <c r="F23" i="43"/>
  <c r="G370" i="63" l="1"/>
  <c r="K370" i="63" s="1"/>
  <c r="F98" i="43"/>
  <c r="F563" i="43"/>
  <c r="F828" i="43"/>
  <c r="F773" i="43"/>
  <c r="I287" i="63"/>
  <c r="I288" i="63" s="1"/>
  <c r="H287" i="63"/>
  <c r="H288" i="63" s="1"/>
  <c r="AG186" i="65" l="1"/>
  <c r="AA292" i="65"/>
  <c r="U292" i="65"/>
  <c r="S292" i="65"/>
  <c r="M292" i="65"/>
  <c r="I292" i="65"/>
  <c r="H292" i="65"/>
  <c r="AA291" i="65"/>
  <c r="U291" i="65"/>
  <c r="S291" i="65"/>
  <c r="M291" i="65"/>
  <c r="I291" i="65"/>
  <c r="H291" i="65"/>
  <c r="AA244" i="65"/>
  <c r="U244" i="65"/>
  <c r="S244" i="65"/>
  <c r="M244" i="65"/>
  <c r="I244" i="65"/>
  <c r="AT244" i="65" s="1"/>
  <c r="H244" i="65"/>
  <c r="AA256" i="65"/>
  <c r="U256" i="65"/>
  <c r="S256" i="65"/>
  <c r="M256" i="65"/>
  <c r="I256" i="65"/>
  <c r="AL256" i="65" s="1"/>
  <c r="H256" i="65"/>
  <c r="AA257" i="65"/>
  <c r="U257" i="65"/>
  <c r="S257" i="65"/>
  <c r="M257" i="65"/>
  <c r="I257" i="65"/>
  <c r="AU257" i="65" s="1"/>
  <c r="H257" i="65"/>
  <c r="I298" i="65"/>
  <c r="BD298" i="65" s="1"/>
  <c r="I297" i="65"/>
  <c r="AU297" i="65" s="1"/>
  <c r="I296" i="65"/>
  <c r="AU296" i="65" s="1"/>
  <c r="I295" i="65"/>
  <c r="I294" i="65"/>
  <c r="AY294" i="65" s="1"/>
  <c r="I293" i="65"/>
  <c r="AT293" i="65" s="1"/>
  <c r="I290" i="65"/>
  <c r="AY290" i="65" s="1"/>
  <c r="I289" i="65"/>
  <c r="I288" i="65"/>
  <c r="I287" i="65"/>
  <c r="I286" i="65"/>
  <c r="AP286" i="65" s="1"/>
  <c r="I285" i="65"/>
  <c r="I284" i="65"/>
  <c r="AS284" i="65" s="1"/>
  <c r="I283" i="65"/>
  <c r="AW283" i="65" s="1"/>
  <c r="I282" i="65"/>
  <c r="BD282" i="65" s="1"/>
  <c r="I281" i="65"/>
  <c r="I280" i="65"/>
  <c r="AX280" i="65" s="1"/>
  <c r="I279" i="65"/>
  <c r="I278" i="65"/>
  <c r="AX278" i="65" s="1"/>
  <c r="I277" i="65"/>
  <c r="I276" i="65"/>
  <c r="I275" i="65"/>
  <c r="AQ275" i="65" s="1"/>
  <c r="I274" i="65"/>
  <c r="AM274" i="65" s="1"/>
  <c r="I273" i="65"/>
  <c r="AV273" i="65" s="1"/>
  <c r="I272" i="65"/>
  <c r="AO272" i="65" s="1"/>
  <c r="I271" i="65"/>
  <c r="I270" i="65"/>
  <c r="AW270" i="65" s="1"/>
  <c r="I269" i="65"/>
  <c r="BD269" i="65" s="1"/>
  <c r="I268" i="65"/>
  <c r="AO268" i="65" s="1"/>
  <c r="I267" i="65"/>
  <c r="AV267" i="65" s="1"/>
  <c r="I266" i="65"/>
  <c r="BE266" i="65" s="1"/>
  <c r="I265" i="65"/>
  <c r="BE265" i="65" s="1"/>
  <c r="I264" i="65"/>
  <c r="AW264" i="65" s="1"/>
  <c r="I263" i="65"/>
  <c r="I262" i="65"/>
  <c r="AT262" i="65" s="1"/>
  <c r="I261" i="65"/>
  <c r="I260" i="65"/>
  <c r="AO260" i="65" s="1"/>
  <c r="I259" i="65"/>
  <c r="AR259" i="65" s="1"/>
  <c r="I258" i="65"/>
  <c r="AN258" i="65" s="1"/>
  <c r="I255" i="65"/>
  <c r="AO255" i="65" s="1"/>
  <c r="I254" i="65"/>
  <c r="AO254" i="65" s="1"/>
  <c r="I253" i="65"/>
  <c r="I252" i="65"/>
  <c r="AL252" i="65" s="1"/>
  <c r="I251" i="65"/>
  <c r="AO251" i="65" s="1"/>
  <c r="I250" i="65"/>
  <c r="AO250" i="65" s="1"/>
  <c r="I249" i="65"/>
  <c r="I248" i="65"/>
  <c r="I247" i="65"/>
  <c r="BE247" i="65" s="1"/>
  <c r="I246" i="65"/>
  <c r="AY246" i="65" s="1"/>
  <c r="I245" i="65"/>
  <c r="I243" i="65"/>
  <c r="BD243" i="65" s="1"/>
  <c r="I242" i="65"/>
  <c r="AY242" i="65" s="1"/>
  <c r="I241" i="65"/>
  <c r="BD241" i="65" s="1"/>
  <c r="I240" i="65"/>
  <c r="AV240" i="65" s="1"/>
  <c r="I239" i="65"/>
  <c r="BD239" i="65" s="1"/>
  <c r="I238" i="65"/>
  <c r="AX238" i="65" s="1"/>
  <c r="I237" i="65"/>
  <c r="BD237" i="65" s="1"/>
  <c r="I236" i="65"/>
  <c r="I235" i="65"/>
  <c r="I234" i="65"/>
  <c r="AL234" i="65" s="1"/>
  <c r="I233" i="65"/>
  <c r="AL233" i="65" s="1"/>
  <c r="I232" i="65"/>
  <c r="AN232" i="65" s="1"/>
  <c r="I231" i="65"/>
  <c r="AM231" i="65" s="1"/>
  <c r="I230" i="65"/>
  <c r="AM230" i="65" s="1"/>
  <c r="I229" i="65"/>
  <c r="AM229" i="65" s="1"/>
  <c r="I228" i="65"/>
  <c r="I227" i="65"/>
  <c r="AN227" i="65" s="1"/>
  <c r="I225" i="65"/>
  <c r="AN225" i="65" s="1"/>
  <c r="I224" i="65"/>
  <c r="I226" i="65"/>
  <c r="AS226" i="65" s="1"/>
  <c r="AA298" i="65"/>
  <c r="U298" i="65"/>
  <c r="S298" i="65"/>
  <c r="M298" i="65"/>
  <c r="H298" i="65"/>
  <c r="BD297" i="65"/>
  <c r="AY297" i="65"/>
  <c r="AX297" i="65"/>
  <c r="AT297" i="65"/>
  <c r="AS297" i="65"/>
  <c r="AQ297" i="65"/>
  <c r="AO297" i="65"/>
  <c r="AM297" i="65"/>
  <c r="AL297" i="65"/>
  <c r="AA297" i="65"/>
  <c r="U297" i="65"/>
  <c r="S297" i="65"/>
  <c r="M297" i="65"/>
  <c r="H297" i="65"/>
  <c r="AV296" i="65"/>
  <c r="AA296" i="65"/>
  <c r="U296" i="65"/>
  <c r="S296" i="65"/>
  <c r="M296" i="65"/>
  <c r="H296" i="65"/>
  <c r="AA295" i="65"/>
  <c r="U295" i="65"/>
  <c r="S295" i="65"/>
  <c r="M295" i="65"/>
  <c r="H295" i="65"/>
  <c r="AA294" i="65"/>
  <c r="U294" i="65"/>
  <c r="S294" i="65"/>
  <c r="M294" i="65"/>
  <c r="H294" i="65"/>
  <c r="AX293" i="65"/>
  <c r="AN293" i="65"/>
  <c r="AA293" i="65"/>
  <c r="U293" i="65"/>
  <c r="S293" i="65"/>
  <c r="M293" i="65"/>
  <c r="H293" i="65"/>
  <c r="BE290" i="65"/>
  <c r="AU290" i="65"/>
  <c r="AP290" i="65"/>
  <c r="AA290" i="65"/>
  <c r="U290" i="65"/>
  <c r="S290" i="65"/>
  <c r="M290" i="65"/>
  <c r="H290" i="65"/>
  <c r="AA289" i="65"/>
  <c r="U289" i="65"/>
  <c r="S289" i="65"/>
  <c r="M289" i="65"/>
  <c r="H289" i="65"/>
  <c r="AA288" i="65"/>
  <c r="U288" i="65"/>
  <c r="S288" i="65"/>
  <c r="M288" i="65"/>
  <c r="H288" i="65"/>
  <c r="AA287" i="65"/>
  <c r="U287" i="65"/>
  <c r="S287" i="65"/>
  <c r="M287" i="65"/>
  <c r="H287" i="65"/>
  <c r="AA286" i="65"/>
  <c r="U286" i="65"/>
  <c r="S286" i="65"/>
  <c r="M286" i="65"/>
  <c r="H286" i="65"/>
  <c r="AA285" i="65"/>
  <c r="U285" i="65"/>
  <c r="S285" i="65"/>
  <c r="M285" i="65"/>
  <c r="H285" i="65"/>
  <c r="AN284" i="65"/>
  <c r="AA284" i="65"/>
  <c r="U284" i="65"/>
  <c r="S284" i="65"/>
  <c r="M284" i="65"/>
  <c r="H284" i="65"/>
  <c r="BE283" i="65"/>
  <c r="AO283" i="65"/>
  <c r="AA283" i="65"/>
  <c r="U283" i="65"/>
  <c r="S283" i="65"/>
  <c r="M283" i="65"/>
  <c r="H283" i="65"/>
  <c r="AW282" i="65"/>
  <c r="AS282" i="65"/>
  <c r="AN282" i="65"/>
  <c r="AA282" i="65"/>
  <c r="U282" i="65"/>
  <c r="S282" i="65"/>
  <c r="M282" i="65"/>
  <c r="H282" i="65"/>
  <c r="AA281" i="65"/>
  <c r="U281" i="65"/>
  <c r="S281" i="65"/>
  <c r="M281" i="65"/>
  <c r="H281" i="65"/>
  <c r="AU280" i="65"/>
  <c r="AA280" i="65"/>
  <c r="U280" i="65"/>
  <c r="S280" i="65"/>
  <c r="M280" i="65"/>
  <c r="H280" i="65"/>
  <c r="BE279" i="65"/>
  <c r="BD279" i="65"/>
  <c r="AY279" i="65"/>
  <c r="AW279" i="65"/>
  <c r="AV279" i="65"/>
  <c r="AU279" i="65"/>
  <c r="AS279" i="65"/>
  <c r="AR279" i="65"/>
  <c r="AQ279" i="65"/>
  <c r="AO279" i="65"/>
  <c r="AN279" i="65"/>
  <c r="AM279" i="65"/>
  <c r="AA279" i="65"/>
  <c r="U279" i="65"/>
  <c r="S279" i="65"/>
  <c r="M279" i="65"/>
  <c r="H279" i="65"/>
  <c r="AA278" i="65"/>
  <c r="U278" i="65"/>
  <c r="S278" i="65"/>
  <c r="M278" i="65"/>
  <c r="H278" i="65"/>
  <c r="AA277" i="65"/>
  <c r="U277" i="65"/>
  <c r="S277" i="65"/>
  <c r="M277" i="65"/>
  <c r="H277" i="65"/>
  <c r="AA276" i="65"/>
  <c r="U276" i="65"/>
  <c r="S276" i="65"/>
  <c r="M276" i="65"/>
  <c r="H276" i="65"/>
  <c r="BE263" i="65"/>
  <c r="BD263" i="65"/>
  <c r="AY263" i="65"/>
  <c r="AX263" i="65"/>
  <c r="AW263" i="65"/>
  <c r="AV263" i="65"/>
  <c r="AU263" i="65"/>
  <c r="AT263" i="65"/>
  <c r="AS263" i="65"/>
  <c r="AR263" i="65"/>
  <c r="AQ263" i="65"/>
  <c r="AP263" i="65"/>
  <c r="AO263" i="65"/>
  <c r="AN263" i="65"/>
  <c r="AM263" i="65"/>
  <c r="AL263" i="65"/>
  <c r="AA263" i="65"/>
  <c r="U263" i="65"/>
  <c r="S263" i="65"/>
  <c r="M263" i="65"/>
  <c r="H263" i="65"/>
  <c r="AA262" i="65"/>
  <c r="U262" i="65"/>
  <c r="S262" i="65"/>
  <c r="M262" i="65"/>
  <c r="H262" i="65"/>
  <c r="AA261" i="65"/>
  <c r="U261" i="65"/>
  <c r="S261" i="65"/>
  <c r="M261" i="65"/>
  <c r="H261" i="65"/>
  <c r="AA260" i="65"/>
  <c r="U260" i="65"/>
  <c r="S260" i="65"/>
  <c r="M260" i="65"/>
  <c r="H260" i="65"/>
  <c r="AY267" i="65"/>
  <c r="AQ267" i="65"/>
  <c r="AA267" i="65"/>
  <c r="U267" i="65"/>
  <c r="S267" i="65"/>
  <c r="M267" i="65"/>
  <c r="H267" i="65"/>
  <c r="AX266" i="65"/>
  <c r="AP266" i="65"/>
  <c r="AL266" i="65"/>
  <c r="AA266" i="65"/>
  <c r="U266" i="65"/>
  <c r="S266" i="65"/>
  <c r="M266" i="65"/>
  <c r="H266" i="65"/>
  <c r="AA265" i="65"/>
  <c r="U265" i="65"/>
  <c r="S265" i="65"/>
  <c r="M265" i="65"/>
  <c r="H265" i="65"/>
  <c r="AA264" i="65"/>
  <c r="U264" i="65"/>
  <c r="S264" i="65"/>
  <c r="M264" i="65"/>
  <c r="H264" i="65"/>
  <c r="BE271" i="65"/>
  <c r="BD271" i="65"/>
  <c r="AY271" i="65"/>
  <c r="AX271" i="65"/>
  <c r="AW271" i="65"/>
  <c r="AV271" i="65"/>
  <c r="AU271" i="65"/>
  <c r="AT271" i="65"/>
  <c r="AS271" i="65"/>
  <c r="AR271" i="65"/>
  <c r="AQ271" i="65"/>
  <c r="AP271" i="65"/>
  <c r="AO271" i="65"/>
  <c r="AN271" i="65"/>
  <c r="AM271" i="65"/>
  <c r="AL271" i="65"/>
  <c r="AA271" i="65"/>
  <c r="U271" i="65"/>
  <c r="S271" i="65"/>
  <c r="M271" i="65"/>
  <c r="H271" i="65"/>
  <c r="AA270" i="65"/>
  <c r="U270" i="65"/>
  <c r="S270" i="65"/>
  <c r="M270" i="65"/>
  <c r="H270" i="65"/>
  <c r="AA269" i="65"/>
  <c r="U269" i="65"/>
  <c r="S269" i="65"/>
  <c r="M269" i="65"/>
  <c r="H269" i="65"/>
  <c r="AA268" i="65"/>
  <c r="U268" i="65"/>
  <c r="S268" i="65"/>
  <c r="M268" i="65"/>
  <c r="H268" i="65"/>
  <c r="H272" i="65"/>
  <c r="M272" i="65"/>
  <c r="S272" i="65"/>
  <c r="U272" i="65"/>
  <c r="AA272" i="65"/>
  <c r="H273" i="65"/>
  <c r="M273" i="65"/>
  <c r="S273" i="65"/>
  <c r="U273" i="65"/>
  <c r="AA273" i="65"/>
  <c r="AP273" i="65"/>
  <c r="H274" i="65"/>
  <c r="M274" i="65"/>
  <c r="S274" i="65"/>
  <c r="U274" i="65"/>
  <c r="AA274" i="65"/>
  <c r="AP274" i="65"/>
  <c r="AT274" i="65"/>
  <c r="AX274" i="65"/>
  <c r="H275" i="65"/>
  <c r="M275" i="65"/>
  <c r="S275" i="65"/>
  <c r="U275" i="65"/>
  <c r="AA275" i="65"/>
  <c r="AN275" i="65"/>
  <c r="AV275" i="65"/>
  <c r="AA223" i="65"/>
  <c r="U223" i="65"/>
  <c r="S223" i="65"/>
  <c r="M223" i="65"/>
  <c r="AA222" i="65"/>
  <c r="U222" i="65"/>
  <c r="M222" i="65"/>
  <c r="AA175" i="65"/>
  <c r="U175" i="65"/>
  <c r="S175" i="65"/>
  <c r="M175" i="65"/>
  <c r="AA174" i="65"/>
  <c r="U174" i="65"/>
  <c r="M174" i="65"/>
  <c r="BE217" i="65"/>
  <c r="BD217" i="65"/>
  <c r="AY217" i="65"/>
  <c r="AX217" i="65"/>
  <c r="AW217" i="65"/>
  <c r="AV217" i="65"/>
  <c r="AU217" i="65"/>
  <c r="AT217" i="65"/>
  <c r="AS217" i="65"/>
  <c r="AR217" i="65"/>
  <c r="AQ217" i="65"/>
  <c r="AP217" i="65"/>
  <c r="AO217" i="65"/>
  <c r="AN217" i="65"/>
  <c r="AM217" i="65"/>
  <c r="AL217" i="65"/>
  <c r="AA217" i="65"/>
  <c r="U217" i="65"/>
  <c r="S217" i="65"/>
  <c r="M217" i="65"/>
  <c r="H217" i="65"/>
  <c r="AA216" i="65"/>
  <c r="U216" i="65"/>
  <c r="S216" i="65"/>
  <c r="M216" i="65"/>
  <c r="H216" i="65"/>
  <c r="AA215" i="65"/>
  <c r="U215" i="65"/>
  <c r="S215" i="65"/>
  <c r="M215" i="65"/>
  <c r="H215" i="65"/>
  <c r="BE214" i="65"/>
  <c r="BD214" i="65"/>
  <c r="AY214" i="65"/>
  <c r="AX214" i="65"/>
  <c r="AW214" i="65"/>
  <c r="AV214" i="65"/>
  <c r="AU214" i="65"/>
  <c r="AT214" i="65"/>
  <c r="AS214" i="65"/>
  <c r="AR214" i="65"/>
  <c r="AQ214" i="65"/>
  <c r="AP214" i="65"/>
  <c r="AO214" i="65"/>
  <c r="AN214" i="65"/>
  <c r="AM214" i="65"/>
  <c r="AL214" i="65"/>
  <c r="AA214" i="65"/>
  <c r="U214" i="65"/>
  <c r="S214" i="65"/>
  <c r="M214" i="65"/>
  <c r="H214" i="65"/>
  <c r="BE213" i="65"/>
  <c r="BD213" i="65"/>
  <c r="AY213" i="65"/>
  <c r="AX213" i="65"/>
  <c r="AW213" i="65"/>
  <c r="AV213" i="65"/>
  <c r="AU213" i="65"/>
  <c r="AT213" i="65"/>
  <c r="AS213" i="65"/>
  <c r="AR213" i="65"/>
  <c r="AQ213" i="65"/>
  <c r="AP213" i="65"/>
  <c r="AO213" i="65"/>
  <c r="AN213" i="65"/>
  <c r="AM213" i="65"/>
  <c r="AL213" i="65"/>
  <c r="AA213" i="65"/>
  <c r="U213" i="65"/>
  <c r="S213" i="65"/>
  <c r="M213" i="65"/>
  <c r="H213" i="65"/>
  <c r="BE212" i="65"/>
  <c r="BD212" i="65"/>
  <c r="AX212" i="65"/>
  <c r="AW212" i="65"/>
  <c r="AV212" i="65"/>
  <c r="AU212" i="65"/>
  <c r="AT212" i="65"/>
  <c r="AS212" i="65"/>
  <c r="AR212" i="65"/>
  <c r="AQ212" i="65"/>
  <c r="AP212" i="65"/>
  <c r="AO212" i="65"/>
  <c r="AN212" i="65"/>
  <c r="AM212" i="65"/>
  <c r="AL212" i="65"/>
  <c r="AA212" i="65"/>
  <c r="U212" i="65"/>
  <c r="S212" i="65"/>
  <c r="M212" i="65"/>
  <c r="H212" i="65"/>
  <c r="BE211" i="65"/>
  <c r="BD211" i="65"/>
  <c r="AY211" i="65"/>
  <c r="AX211" i="65"/>
  <c r="AW211" i="65"/>
  <c r="AU211" i="65"/>
  <c r="AT211" i="65"/>
  <c r="AS211" i="65"/>
  <c r="AR211" i="65"/>
  <c r="AQ211" i="65"/>
  <c r="AP211" i="65"/>
  <c r="AO211" i="65"/>
  <c r="AN211" i="65"/>
  <c r="AM211" i="65"/>
  <c r="AL211" i="65"/>
  <c r="AA211" i="65"/>
  <c r="U211" i="65"/>
  <c r="S211" i="65"/>
  <c r="M211" i="65"/>
  <c r="H211" i="65"/>
  <c r="BE210" i="65"/>
  <c r="BD210" i="65"/>
  <c r="AY210" i="65"/>
  <c r="AX210" i="65"/>
  <c r="AW210" i="65"/>
  <c r="AV210" i="65"/>
  <c r="AU210" i="65"/>
  <c r="AT210" i="65"/>
  <c r="AS210" i="65"/>
  <c r="AR210" i="65"/>
  <c r="AQ210" i="65"/>
  <c r="AO210" i="65"/>
  <c r="AN210" i="65"/>
  <c r="AM210" i="65"/>
  <c r="AL210" i="65"/>
  <c r="AA210" i="65"/>
  <c r="U210" i="65"/>
  <c r="S210" i="65"/>
  <c r="M210" i="65"/>
  <c r="H210" i="65"/>
  <c r="BE209" i="65"/>
  <c r="BD209" i="65"/>
  <c r="AY209" i="65"/>
  <c r="AX209" i="65"/>
  <c r="AW209" i="65"/>
  <c r="AV209" i="65"/>
  <c r="AU209" i="65"/>
  <c r="AT209" i="65"/>
  <c r="AS209" i="65"/>
  <c r="AR209" i="65"/>
  <c r="AQ209" i="65"/>
  <c r="AP209" i="65"/>
  <c r="AO209" i="65"/>
  <c r="AN209" i="65"/>
  <c r="AM209" i="65"/>
  <c r="AL209" i="65"/>
  <c r="AA209" i="65"/>
  <c r="U209" i="65"/>
  <c r="S209" i="65"/>
  <c r="M209" i="65"/>
  <c r="H209" i="65"/>
  <c r="BE208" i="65"/>
  <c r="BD208" i="65"/>
  <c r="AY208" i="65"/>
  <c r="AX208" i="65"/>
  <c r="AW208" i="65"/>
  <c r="AV208" i="65"/>
  <c r="AU208" i="65"/>
  <c r="AT208" i="65"/>
  <c r="AS208" i="65"/>
  <c r="AR208" i="65"/>
  <c r="AQ208" i="65"/>
  <c r="AP208" i="65"/>
  <c r="AO208" i="65"/>
  <c r="AN208" i="65"/>
  <c r="AM208" i="65"/>
  <c r="AL208" i="65"/>
  <c r="AA208" i="65"/>
  <c r="U208" i="65"/>
  <c r="S208" i="65"/>
  <c r="M208" i="65"/>
  <c r="H208" i="65"/>
  <c r="BE207" i="65"/>
  <c r="BD207" i="65"/>
  <c r="AY207" i="65"/>
  <c r="AX207" i="65"/>
  <c r="AW207" i="65"/>
  <c r="AV207" i="65"/>
  <c r="AU207" i="65"/>
  <c r="AT207" i="65"/>
  <c r="AS207" i="65"/>
  <c r="AR207" i="65"/>
  <c r="AQ207" i="65"/>
  <c r="AP207" i="65"/>
  <c r="AO207" i="65"/>
  <c r="AN207" i="65"/>
  <c r="AM207" i="65"/>
  <c r="AL207" i="65"/>
  <c r="AA207" i="65"/>
  <c r="U207" i="65"/>
  <c r="S207" i="65"/>
  <c r="M207" i="65"/>
  <c r="H207" i="65"/>
  <c r="BE206" i="65"/>
  <c r="BD206" i="65"/>
  <c r="AY206" i="65"/>
  <c r="AX206" i="65"/>
  <c r="AW206" i="65"/>
  <c r="AV206" i="65"/>
  <c r="AU206" i="65"/>
  <c r="AT206" i="65"/>
  <c r="AS206" i="65"/>
  <c r="AR206" i="65"/>
  <c r="AQ206" i="65"/>
  <c r="AP206" i="65"/>
  <c r="AO206" i="65"/>
  <c r="AN206" i="65"/>
  <c r="AM206" i="65"/>
  <c r="AL206" i="65"/>
  <c r="AA206" i="65"/>
  <c r="U206" i="65"/>
  <c r="S206" i="65"/>
  <c r="M206" i="65"/>
  <c r="H206" i="65"/>
  <c r="BE205" i="65"/>
  <c r="BD205" i="65"/>
  <c r="AY205" i="65"/>
  <c r="AX205" i="65"/>
  <c r="AW205" i="65"/>
  <c r="AV205" i="65"/>
  <c r="AU205" i="65"/>
  <c r="AT205" i="65"/>
  <c r="AS205" i="65"/>
  <c r="AR205" i="65"/>
  <c r="AQ205" i="65"/>
  <c r="AP205" i="65"/>
  <c r="AO205" i="65"/>
  <c r="AN205" i="65"/>
  <c r="AM205" i="65"/>
  <c r="AL205" i="65"/>
  <c r="AA205" i="65"/>
  <c r="U205" i="65"/>
  <c r="S205" i="65"/>
  <c r="M205" i="65"/>
  <c r="H205" i="65"/>
  <c r="AA204" i="65"/>
  <c r="U204" i="65"/>
  <c r="S204" i="65"/>
  <c r="M204" i="65"/>
  <c r="H204" i="65"/>
  <c r="AA203" i="65"/>
  <c r="U203" i="65"/>
  <c r="S203" i="65"/>
  <c r="M203" i="65"/>
  <c r="H203" i="65"/>
  <c r="BE202" i="65"/>
  <c r="BD202" i="65"/>
  <c r="AY202" i="65"/>
  <c r="AX202" i="65"/>
  <c r="AW202" i="65"/>
  <c r="AV202" i="65"/>
  <c r="AU202" i="65"/>
  <c r="AT202" i="65"/>
  <c r="AS202" i="65"/>
  <c r="AR202" i="65"/>
  <c r="AQ202" i="65"/>
  <c r="AP202" i="65"/>
  <c r="AO202" i="65"/>
  <c r="AN202" i="65"/>
  <c r="AM202" i="65"/>
  <c r="AL202" i="65"/>
  <c r="AA202" i="65"/>
  <c r="U202" i="65"/>
  <c r="S202" i="65"/>
  <c r="M202" i="65"/>
  <c r="H202" i="65"/>
  <c r="BE201" i="65"/>
  <c r="BD201" i="65"/>
  <c r="AY201" i="65"/>
  <c r="AX201" i="65"/>
  <c r="AW201" i="65"/>
  <c r="AV201" i="65"/>
  <c r="AU201" i="65"/>
  <c r="AT201" i="65"/>
  <c r="AS201" i="65"/>
  <c r="AR201" i="65"/>
  <c r="AQ201" i="65"/>
  <c r="AP201" i="65"/>
  <c r="AO201" i="65"/>
  <c r="AN201" i="65"/>
  <c r="AM201" i="65"/>
  <c r="AL201" i="65"/>
  <c r="AA201" i="65"/>
  <c r="U201" i="65"/>
  <c r="S201" i="65"/>
  <c r="M201" i="65"/>
  <c r="H201" i="65"/>
  <c r="BE200" i="65"/>
  <c r="BD200" i="65"/>
  <c r="AX200" i="65"/>
  <c r="AW200" i="65"/>
  <c r="AV200" i="65"/>
  <c r="AU200" i="65"/>
  <c r="AT200" i="65"/>
  <c r="AS200" i="65"/>
  <c r="AR200" i="65"/>
  <c r="AQ200" i="65"/>
  <c r="AP200" i="65"/>
  <c r="AO200" i="65"/>
  <c r="AN200" i="65"/>
  <c r="AM200" i="65"/>
  <c r="AL200" i="65"/>
  <c r="AA200" i="65"/>
  <c r="U200" i="65"/>
  <c r="S200" i="65"/>
  <c r="M200" i="65"/>
  <c r="H200" i="65"/>
  <c r="BE199" i="65"/>
  <c r="BD199" i="65"/>
  <c r="AY199" i="65"/>
  <c r="AX199" i="65"/>
  <c r="AW199" i="65"/>
  <c r="AU199" i="65"/>
  <c r="AT199" i="65"/>
  <c r="AS199" i="65"/>
  <c r="AR199" i="65"/>
  <c r="AQ199" i="65"/>
  <c r="AP199" i="65"/>
  <c r="AO199" i="65"/>
  <c r="AN199" i="65"/>
  <c r="AM199" i="65"/>
  <c r="AL199" i="65"/>
  <c r="AA199" i="65"/>
  <c r="U199" i="65"/>
  <c r="S199" i="65"/>
  <c r="M199" i="65"/>
  <c r="H199" i="65"/>
  <c r="BE198" i="65"/>
  <c r="BD198" i="65"/>
  <c r="AY198" i="65"/>
  <c r="AX198" i="65"/>
  <c r="AW198" i="65"/>
  <c r="AV198" i="65"/>
  <c r="AU198" i="65"/>
  <c r="AT198" i="65"/>
  <c r="AS198" i="65"/>
  <c r="AR198" i="65"/>
  <c r="AQ198" i="65"/>
  <c r="AO198" i="65"/>
  <c r="AN198" i="65"/>
  <c r="AM198" i="65"/>
  <c r="AL198" i="65"/>
  <c r="AA198" i="65"/>
  <c r="U198" i="65"/>
  <c r="S198" i="65"/>
  <c r="M198" i="65"/>
  <c r="H198" i="65"/>
  <c r="BE221" i="65"/>
  <c r="BD221" i="65"/>
  <c r="AY221" i="65"/>
  <c r="AX221" i="65"/>
  <c r="AW221" i="65"/>
  <c r="AV221" i="65"/>
  <c r="AU221" i="65"/>
  <c r="AT221" i="65"/>
  <c r="AS221" i="65"/>
  <c r="AR221" i="65"/>
  <c r="AQ221" i="65"/>
  <c r="AP221" i="65"/>
  <c r="AO221" i="65"/>
  <c r="AN221" i="65"/>
  <c r="AM221" i="65"/>
  <c r="AL221" i="65"/>
  <c r="AA221" i="65"/>
  <c r="U221" i="65"/>
  <c r="S221" i="65"/>
  <c r="M221" i="65"/>
  <c r="H221" i="65"/>
  <c r="BE220" i="65"/>
  <c r="BD220" i="65"/>
  <c r="AX220" i="65"/>
  <c r="AW220" i="65"/>
  <c r="AV220" i="65"/>
  <c r="AU220" i="65"/>
  <c r="AT220" i="65"/>
  <c r="AS220" i="65"/>
  <c r="AR220" i="65"/>
  <c r="AQ220" i="65"/>
  <c r="AP220" i="65"/>
  <c r="AO220" i="65"/>
  <c r="AN220" i="65"/>
  <c r="AM220" i="65"/>
  <c r="AL220" i="65"/>
  <c r="AA220" i="65"/>
  <c r="U220" i="65"/>
  <c r="S220" i="65"/>
  <c r="M220" i="65"/>
  <c r="H220" i="65"/>
  <c r="BE219" i="65"/>
  <c r="BD219" i="65"/>
  <c r="AY219" i="65"/>
  <c r="AX219" i="65"/>
  <c r="AW219" i="65"/>
  <c r="AU219" i="65"/>
  <c r="AT219" i="65"/>
  <c r="AS219" i="65"/>
  <c r="AR219" i="65"/>
  <c r="AQ219" i="65"/>
  <c r="AP219" i="65"/>
  <c r="AO219" i="65"/>
  <c r="AN219" i="65"/>
  <c r="AM219" i="65"/>
  <c r="AL219" i="65"/>
  <c r="AA219" i="65"/>
  <c r="U219" i="65"/>
  <c r="S219" i="65"/>
  <c r="M219" i="65"/>
  <c r="H219" i="65"/>
  <c r="BE218" i="65"/>
  <c r="BD218" i="65"/>
  <c r="AY218" i="65"/>
  <c r="AX218" i="65"/>
  <c r="AW218" i="65"/>
  <c r="AV218" i="65"/>
  <c r="AU218" i="65"/>
  <c r="AT218" i="65"/>
  <c r="AS218" i="65"/>
  <c r="AR218" i="65"/>
  <c r="AQ218" i="65"/>
  <c r="AO218" i="65"/>
  <c r="AN218" i="65"/>
  <c r="AM218" i="65"/>
  <c r="AL218" i="65"/>
  <c r="AA218" i="65"/>
  <c r="U218" i="65"/>
  <c r="S218" i="65"/>
  <c r="M218" i="65"/>
  <c r="H218" i="65"/>
  <c r="BE197" i="65"/>
  <c r="BD197" i="65"/>
  <c r="AY197" i="65"/>
  <c r="AX197" i="65"/>
  <c r="AW197" i="65"/>
  <c r="AV197" i="65"/>
  <c r="AU197" i="65"/>
  <c r="AT197" i="65"/>
  <c r="AS197" i="65"/>
  <c r="AR197" i="65"/>
  <c r="AQ197" i="65"/>
  <c r="AP197" i="65"/>
  <c r="AO197" i="65"/>
  <c r="AN197" i="65"/>
  <c r="AM197" i="65"/>
  <c r="AL197" i="65"/>
  <c r="AA197" i="65"/>
  <c r="U197" i="65"/>
  <c r="S197" i="65"/>
  <c r="M197" i="65"/>
  <c r="H197" i="65"/>
  <c r="BE196" i="65"/>
  <c r="BD196" i="65"/>
  <c r="AY196" i="65"/>
  <c r="AX196" i="65"/>
  <c r="AW196" i="65"/>
  <c r="AV196" i="65"/>
  <c r="AU196" i="65"/>
  <c r="AT196" i="65"/>
  <c r="AS196" i="65"/>
  <c r="AR196" i="65"/>
  <c r="AQ196" i="65"/>
  <c r="AP196" i="65"/>
  <c r="AO196" i="65"/>
  <c r="AN196" i="65"/>
  <c r="AM196" i="65"/>
  <c r="AL196" i="65"/>
  <c r="AA196" i="65"/>
  <c r="U196" i="65"/>
  <c r="S196" i="65"/>
  <c r="M196" i="65"/>
  <c r="H196" i="65"/>
  <c r="BE195" i="65"/>
  <c r="BD195" i="65"/>
  <c r="AY195" i="65"/>
  <c r="AX195" i="65"/>
  <c r="AW195" i="65"/>
  <c r="AV195" i="65"/>
  <c r="AU195" i="65"/>
  <c r="AT195" i="65"/>
  <c r="AS195" i="65"/>
  <c r="AR195" i="65"/>
  <c r="AQ195" i="65"/>
  <c r="AP195" i="65"/>
  <c r="AO195" i="65"/>
  <c r="AN195" i="65"/>
  <c r="AM195" i="65"/>
  <c r="AL195" i="65"/>
  <c r="AA195" i="65"/>
  <c r="U195" i="65"/>
  <c r="S195" i="65"/>
  <c r="M195" i="65"/>
  <c r="H195" i="65"/>
  <c r="BE194" i="65"/>
  <c r="BD194" i="65"/>
  <c r="AY194" i="65"/>
  <c r="AX194" i="65"/>
  <c r="AW194" i="65"/>
  <c r="AV194" i="65"/>
  <c r="AU194" i="65"/>
  <c r="AT194" i="65"/>
  <c r="AS194" i="65"/>
  <c r="AR194" i="65"/>
  <c r="AQ194" i="65"/>
  <c r="AP194" i="65"/>
  <c r="AO194" i="65"/>
  <c r="AN194" i="65"/>
  <c r="AM194" i="65"/>
  <c r="AL194" i="65"/>
  <c r="AA194" i="65"/>
  <c r="U194" i="65"/>
  <c r="S194" i="65"/>
  <c r="M194" i="65"/>
  <c r="H194" i="65"/>
  <c r="BE193" i="65"/>
  <c r="BD193" i="65"/>
  <c r="AY193" i="65"/>
  <c r="AX193" i="65"/>
  <c r="AW193" i="65"/>
  <c r="AV193" i="65"/>
  <c r="AU193" i="65"/>
  <c r="AT193" i="65"/>
  <c r="AS193" i="65"/>
  <c r="AR193" i="65"/>
  <c r="AQ193" i="65"/>
  <c r="AP193" i="65"/>
  <c r="AO193" i="65"/>
  <c r="AN193" i="65"/>
  <c r="AM193" i="65"/>
  <c r="AL193" i="65"/>
  <c r="AA193" i="65"/>
  <c r="U193" i="65"/>
  <c r="S193" i="65"/>
  <c r="M193" i="65"/>
  <c r="H193" i="65"/>
  <c r="AA192" i="65"/>
  <c r="U192" i="65"/>
  <c r="S192" i="65"/>
  <c r="M192" i="65"/>
  <c r="H192" i="65"/>
  <c r="AA191" i="65"/>
  <c r="U191" i="65"/>
  <c r="S191" i="65"/>
  <c r="M191" i="65"/>
  <c r="H191" i="65"/>
  <c r="H224" i="65"/>
  <c r="M224" i="65"/>
  <c r="S224" i="65"/>
  <c r="U224" i="65"/>
  <c r="AA224" i="65"/>
  <c r="H225" i="65"/>
  <c r="M225" i="65"/>
  <c r="S225" i="65"/>
  <c r="U225" i="65"/>
  <c r="AA225" i="65"/>
  <c r="AQ225" i="65"/>
  <c r="H226" i="65"/>
  <c r="M226" i="65"/>
  <c r="S226" i="65"/>
  <c r="U226" i="65"/>
  <c r="AA226" i="65"/>
  <c r="AP226" i="65"/>
  <c r="AX226" i="65"/>
  <c r="H227" i="65"/>
  <c r="M227" i="65"/>
  <c r="S227" i="65"/>
  <c r="U227" i="65"/>
  <c r="AA227" i="65"/>
  <c r="AM227" i="65"/>
  <c r="AU227" i="65"/>
  <c r="AY227" i="65"/>
  <c r="H228" i="65"/>
  <c r="M228" i="65"/>
  <c r="S228" i="65"/>
  <c r="U228" i="65"/>
  <c r="AA228" i="65"/>
  <c r="AL228" i="65"/>
  <c r="AM228" i="65"/>
  <c r="AN228" i="65"/>
  <c r="AO228" i="65"/>
  <c r="AP228" i="65"/>
  <c r="AQ228" i="65"/>
  <c r="AR228" i="65"/>
  <c r="AS228" i="65"/>
  <c r="AT228" i="65"/>
  <c r="AU228" i="65"/>
  <c r="AV228" i="65"/>
  <c r="AW228" i="65"/>
  <c r="AX228" i="65"/>
  <c r="AY228" i="65"/>
  <c r="BD228" i="65"/>
  <c r="BE228" i="65"/>
  <c r="H229" i="65"/>
  <c r="M229" i="65"/>
  <c r="S229" i="65"/>
  <c r="U229" i="65"/>
  <c r="AA229" i="65"/>
  <c r="H230" i="65"/>
  <c r="M230" i="65"/>
  <c r="S230" i="65"/>
  <c r="U230" i="65"/>
  <c r="AA230" i="65"/>
  <c r="H231" i="65"/>
  <c r="M231" i="65"/>
  <c r="S231" i="65"/>
  <c r="U231" i="65"/>
  <c r="AA231" i="65"/>
  <c r="AP231" i="65"/>
  <c r="AT231" i="65"/>
  <c r="AY231" i="65"/>
  <c r="H232" i="65"/>
  <c r="M232" i="65"/>
  <c r="S232" i="65"/>
  <c r="U232" i="65"/>
  <c r="AA232" i="65"/>
  <c r="AS232" i="65"/>
  <c r="H233" i="65"/>
  <c r="M233" i="65"/>
  <c r="S233" i="65"/>
  <c r="U233" i="65"/>
  <c r="AA233" i="65"/>
  <c r="H234" i="65"/>
  <c r="M234" i="65"/>
  <c r="S234" i="65"/>
  <c r="U234" i="65"/>
  <c r="AA234" i="65"/>
  <c r="AA247" i="65"/>
  <c r="U247" i="65"/>
  <c r="S247" i="65"/>
  <c r="M247" i="65"/>
  <c r="H247" i="65"/>
  <c r="AR246" i="65"/>
  <c r="AA246" i="65"/>
  <c r="U246" i="65"/>
  <c r="S246" i="65"/>
  <c r="M246" i="65"/>
  <c r="H246" i="65"/>
  <c r="BE245" i="65"/>
  <c r="BD245" i="65"/>
  <c r="AX245" i="65"/>
  <c r="AW245" i="65"/>
  <c r="AV245" i="65"/>
  <c r="AU245" i="65"/>
  <c r="AT245" i="65"/>
  <c r="AS245" i="65"/>
  <c r="AR245" i="65"/>
  <c r="AQ245" i="65"/>
  <c r="AP245" i="65"/>
  <c r="AO245" i="65"/>
  <c r="AN245" i="65"/>
  <c r="AM245" i="65"/>
  <c r="AL245" i="65"/>
  <c r="AA245" i="65"/>
  <c r="U245" i="65"/>
  <c r="S245" i="65"/>
  <c r="M245" i="65"/>
  <c r="H245" i="65"/>
  <c r="BE243" i="65"/>
  <c r="AW243" i="65"/>
  <c r="AR243" i="65"/>
  <c r="AA243" i="65"/>
  <c r="U243" i="65"/>
  <c r="S243" i="65"/>
  <c r="M243" i="65"/>
  <c r="H243" i="65"/>
  <c r="BD242" i="65"/>
  <c r="AV242" i="65"/>
  <c r="AA242" i="65"/>
  <c r="U242" i="65"/>
  <c r="S242" i="65"/>
  <c r="M242" i="65"/>
  <c r="H242" i="65"/>
  <c r="AA241" i="65"/>
  <c r="U241" i="65"/>
  <c r="S241" i="65"/>
  <c r="M241" i="65"/>
  <c r="H241" i="65"/>
  <c r="AY240" i="65"/>
  <c r="AQ240" i="65"/>
  <c r="AA240" i="65"/>
  <c r="U240" i="65"/>
  <c r="S240" i="65"/>
  <c r="M240" i="65"/>
  <c r="H240" i="65"/>
  <c r="BE239" i="65"/>
  <c r="AW239" i="65"/>
  <c r="AO239" i="65"/>
  <c r="AA239" i="65"/>
  <c r="U239" i="65"/>
  <c r="S239" i="65"/>
  <c r="M239" i="65"/>
  <c r="H239" i="65"/>
  <c r="AA238" i="65"/>
  <c r="U238" i="65"/>
  <c r="S238" i="65"/>
  <c r="M238" i="65"/>
  <c r="H238" i="65"/>
  <c r="AA237" i="65"/>
  <c r="U237" i="65"/>
  <c r="S237" i="65"/>
  <c r="M237" i="65"/>
  <c r="H237" i="65"/>
  <c r="AA236" i="65"/>
  <c r="U236" i="65"/>
  <c r="S236" i="65"/>
  <c r="M236" i="65"/>
  <c r="H236" i="65"/>
  <c r="AA235" i="65"/>
  <c r="U235" i="65"/>
  <c r="S235" i="65"/>
  <c r="M235" i="65"/>
  <c r="H235" i="65"/>
  <c r="H248" i="65"/>
  <c r="M248" i="65"/>
  <c r="S248" i="65"/>
  <c r="U248" i="65"/>
  <c r="AA248" i="65"/>
  <c r="H249" i="65"/>
  <c r="M249" i="65"/>
  <c r="S249" i="65"/>
  <c r="U249" i="65"/>
  <c r="AA249" i="65"/>
  <c r="H250" i="65"/>
  <c r="M250" i="65"/>
  <c r="S250" i="65"/>
  <c r="U250" i="65"/>
  <c r="AA250" i="65"/>
  <c r="H251" i="65"/>
  <c r="M251" i="65"/>
  <c r="S251" i="65"/>
  <c r="U251" i="65"/>
  <c r="AA251" i="65"/>
  <c r="H252" i="65"/>
  <c r="M252" i="65"/>
  <c r="S252" i="65"/>
  <c r="U252" i="65"/>
  <c r="AA252" i="65"/>
  <c r="AO252" i="65"/>
  <c r="AW252" i="65"/>
  <c r="BE252" i="65"/>
  <c r="H253" i="65"/>
  <c r="M253" i="65"/>
  <c r="S253" i="65"/>
  <c r="U253" i="65"/>
  <c r="AA253" i="65"/>
  <c r="AL253" i="65"/>
  <c r="AM253" i="65"/>
  <c r="AN253" i="65"/>
  <c r="AO253" i="65"/>
  <c r="AP253" i="65"/>
  <c r="AQ253" i="65"/>
  <c r="AR253" i="65"/>
  <c r="AS253" i="65"/>
  <c r="AT253" i="65"/>
  <c r="AU253" i="65"/>
  <c r="AV253" i="65"/>
  <c r="AW253" i="65"/>
  <c r="AX253" i="65"/>
  <c r="AY253" i="65"/>
  <c r="BD253" i="65"/>
  <c r="BE253" i="65"/>
  <c r="H254" i="65"/>
  <c r="M254" i="65"/>
  <c r="S254" i="65"/>
  <c r="U254" i="65"/>
  <c r="AA254" i="65"/>
  <c r="H255" i="65"/>
  <c r="M255" i="65"/>
  <c r="S255" i="65"/>
  <c r="U255" i="65"/>
  <c r="AA255" i="65"/>
  <c r="BE255" i="65"/>
  <c r="H258" i="65"/>
  <c r="M258" i="65"/>
  <c r="S258" i="65"/>
  <c r="U258" i="65"/>
  <c r="AA258" i="65"/>
  <c r="AM258" i="65"/>
  <c r="AQ258" i="65"/>
  <c r="AU258" i="65"/>
  <c r="H259" i="65"/>
  <c r="M259" i="65"/>
  <c r="S259" i="65"/>
  <c r="U259" i="65"/>
  <c r="AA259" i="65"/>
  <c r="AO259" i="65"/>
  <c r="AW259" i="65"/>
  <c r="AA185" i="65"/>
  <c r="U185" i="65"/>
  <c r="S185" i="65"/>
  <c r="M185" i="65"/>
  <c r="AA184" i="65"/>
  <c r="U184" i="65"/>
  <c r="S184" i="65"/>
  <c r="M184" i="65"/>
  <c r="AA183" i="65"/>
  <c r="U183" i="65"/>
  <c r="S183" i="65"/>
  <c r="M183" i="65"/>
  <c r="AA182" i="65"/>
  <c r="U182" i="65"/>
  <c r="S182" i="65"/>
  <c r="M182" i="65"/>
  <c r="AA181" i="65"/>
  <c r="U181" i="65"/>
  <c r="S181" i="65"/>
  <c r="M181" i="65"/>
  <c r="AA180" i="65"/>
  <c r="U180" i="65"/>
  <c r="S180" i="65"/>
  <c r="M180" i="65"/>
  <c r="AA179" i="65"/>
  <c r="U179" i="65"/>
  <c r="S179" i="65"/>
  <c r="M179" i="65"/>
  <c r="AA178" i="65"/>
  <c r="U178" i="65"/>
  <c r="S178" i="65"/>
  <c r="M178" i="65"/>
  <c r="AA177" i="65"/>
  <c r="U177" i="65"/>
  <c r="S177" i="65"/>
  <c r="M177" i="65"/>
  <c r="AA176" i="65"/>
  <c r="U176" i="65"/>
  <c r="S176" i="65"/>
  <c r="M176" i="65"/>
  <c r="AA173" i="65"/>
  <c r="U173" i="65"/>
  <c r="S173" i="65"/>
  <c r="M173" i="65"/>
  <c r="AA172" i="65"/>
  <c r="U172" i="65"/>
  <c r="S172" i="65"/>
  <c r="M172" i="65"/>
  <c r="AA171" i="65"/>
  <c r="U171" i="65"/>
  <c r="S171" i="65"/>
  <c r="M171" i="65"/>
  <c r="AA170" i="65"/>
  <c r="U170" i="65"/>
  <c r="S170" i="65"/>
  <c r="M170" i="65"/>
  <c r="AA169" i="65"/>
  <c r="U169" i="65"/>
  <c r="S169" i="65"/>
  <c r="M169" i="65"/>
  <c r="AA168" i="65"/>
  <c r="U168" i="65"/>
  <c r="S168" i="65"/>
  <c r="M168" i="65"/>
  <c r="AA167" i="65"/>
  <c r="U167" i="65"/>
  <c r="S167" i="65"/>
  <c r="M167" i="65"/>
  <c r="AA166" i="65"/>
  <c r="U166" i="65"/>
  <c r="S166" i="65"/>
  <c r="M166" i="65"/>
  <c r="AA165" i="65"/>
  <c r="U165" i="65"/>
  <c r="S165" i="65"/>
  <c r="M165" i="65"/>
  <c r="AA164" i="65"/>
  <c r="U164" i="65"/>
  <c r="S164" i="65"/>
  <c r="M164" i="65"/>
  <c r="AA163" i="65"/>
  <c r="U163" i="65"/>
  <c r="S163" i="65"/>
  <c r="M163" i="65"/>
  <c r="AA162" i="65"/>
  <c r="U162" i="65"/>
  <c r="S162" i="65"/>
  <c r="M162" i="65"/>
  <c r="AA161" i="65"/>
  <c r="U161" i="65"/>
  <c r="S161" i="65"/>
  <c r="M161" i="65"/>
  <c r="AA160" i="65"/>
  <c r="U160" i="65"/>
  <c r="S160" i="65"/>
  <c r="M160" i="65"/>
  <c r="AA159" i="65"/>
  <c r="U159" i="65"/>
  <c r="S159" i="65"/>
  <c r="M159" i="65"/>
  <c r="AA158" i="65"/>
  <c r="U158" i="65"/>
  <c r="S158" i="65"/>
  <c r="M158" i="65"/>
  <c r="AA157" i="65"/>
  <c r="U157" i="65"/>
  <c r="S157" i="65"/>
  <c r="M157" i="65"/>
  <c r="AA156" i="65"/>
  <c r="U156" i="65"/>
  <c r="S156" i="65"/>
  <c r="M156" i="65"/>
  <c r="AA155" i="65"/>
  <c r="U155" i="65"/>
  <c r="S155" i="65"/>
  <c r="M155" i="65"/>
  <c r="AA154" i="65"/>
  <c r="U154" i="65"/>
  <c r="S154" i="65"/>
  <c r="M154" i="65"/>
  <c r="AA153" i="65"/>
  <c r="U153" i="65"/>
  <c r="S153" i="65"/>
  <c r="M153" i="65"/>
  <c r="AA152" i="65"/>
  <c r="U152" i="65"/>
  <c r="S152" i="65"/>
  <c r="M152" i="65"/>
  <c r="AG151" i="65"/>
  <c r="AA150" i="65"/>
  <c r="U150" i="65"/>
  <c r="S150" i="65"/>
  <c r="M150" i="65"/>
  <c r="AA149" i="65"/>
  <c r="U149" i="65"/>
  <c r="S149" i="65"/>
  <c r="M149" i="65"/>
  <c r="AA148" i="65"/>
  <c r="U148" i="65"/>
  <c r="S148" i="65"/>
  <c r="M148" i="65"/>
  <c r="AA147" i="65"/>
  <c r="U147" i="65"/>
  <c r="S147" i="65"/>
  <c r="M147" i="65"/>
  <c r="AA146" i="65"/>
  <c r="U146" i="65"/>
  <c r="S146" i="65"/>
  <c r="M146" i="65"/>
  <c r="AA145" i="65"/>
  <c r="U145" i="65"/>
  <c r="S145" i="65"/>
  <c r="M145" i="65"/>
  <c r="AA144" i="65"/>
  <c r="U144" i="65"/>
  <c r="S144" i="65"/>
  <c r="M144" i="65"/>
  <c r="AA143" i="65"/>
  <c r="U143" i="65"/>
  <c r="S143" i="65"/>
  <c r="M143" i="65"/>
  <c r="AA142" i="65"/>
  <c r="U142" i="65"/>
  <c r="S142" i="65"/>
  <c r="M142" i="65"/>
  <c r="AA141" i="65"/>
  <c r="U141" i="65"/>
  <c r="S141" i="65"/>
  <c r="M141" i="65"/>
  <c r="AA140" i="65"/>
  <c r="U140" i="65"/>
  <c r="S140" i="65"/>
  <c r="M140" i="65"/>
  <c r="AA138" i="65"/>
  <c r="U138" i="65"/>
  <c r="S138" i="65"/>
  <c r="M138" i="65"/>
  <c r="AA137" i="65"/>
  <c r="U137" i="65"/>
  <c r="M137" i="65"/>
  <c r="AA139" i="65"/>
  <c r="U139" i="65"/>
  <c r="S139" i="65"/>
  <c r="M139" i="65"/>
  <c r="AA136" i="65"/>
  <c r="U136" i="65"/>
  <c r="S136" i="65"/>
  <c r="M136" i="65"/>
  <c r="AA135" i="65"/>
  <c r="U135" i="65"/>
  <c r="S135" i="65"/>
  <c r="M135" i="65"/>
  <c r="AA134" i="65"/>
  <c r="U134" i="65"/>
  <c r="S134" i="65"/>
  <c r="M134" i="65"/>
  <c r="AA133" i="65"/>
  <c r="U133" i="65"/>
  <c r="S133" i="65"/>
  <c r="M133" i="65"/>
  <c r="AA132" i="65"/>
  <c r="U132" i="65"/>
  <c r="S132" i="65"/>
  <c r="M132" i="65"/>
  <c r="AA131" i="65"/>
  <c r="U131" i="65"/>
  <c r="S131" i="65"/>
  <c r="M131" i="65"/>
  <c r="AA130" i="65"/>
  <c r="U130" i="65"/>
  <c r="S130" i="65"/>
  <c r="M130" i="65"/>
  <c r="AA129" i="65"/>
  <c r="U129" i="65"/>
  <c r="S129" i="65"/>
  <c r="M129" i="65"/>
  <c r="AA128" i="65"/>
  <c r="U128" i="65"/>
  <c r="S128" i="65"/>
  <c r="M128" i="65"/>
  <c r="AA127" i="65"/>
  <c r="U127" i="65"/>
  <c r="S127" i="65"/>
  <c r="M127" i="65"/>
  <c r="AA126" i="65"/>
  <c r="U126" i="65"/>
  <c r="S126" i="65"/>
  <c r="M126" i="65"/>
  <c r="AA125" i="65"/>
  <c r="U125" i="65"/>
  <c r="S125" i="65"/>
  <c r="M125" i="65"/>
  <c r="AA124" i="65"/>
  <c r="U124" i="65"/>
  <c r="S124" i="65"/>
  <c r="M124" i="65"/>
  <c r="AA123" i="65"/>
  <c r="U123" i="65"/>
  <c r="S123" i="65"/>
  <c r="M123" i="65"/>
  <c r="AA122" i="65"/>
  <c r="U122" i="65"/>
  <c r="S122" i="65"/>
  <c r="M122" i="65"/>
  <c r="AA120" i="65"/>
  <c r="U120" i="65"/>
  <c r="S120" i="65"/>
  <c r="M120" i="65"/>
  <c r="AA119" i="65"/>
  <c r="U119" i="65"/>
  <c r="S119" i="65"/>
  <c r="M119" i="65"/>
  <c r="AA118" i="65"/>
  <c r="U118" i="65"/>
  <c r="S118" i="65"/>
  <c r="M118" i="65"/>
  <c r="AA117" i="65"/>
  <c r="U117" i="65"/>
  <c r="S117" i="65"/>
  <c r="M117" i="65"/>
  <c r="AA116" i="65"/>
  <c r="U116" i="65"/>
  <c r="S116" i="65"/>
  <c r="M116" i="65"/>
  <c r="AA115" i="65"/>
  <c r="U115" i="65"/>
  <c r="S115" i="65"/>
  <c r="M115" i="65"/>
  <c r="AA114" i="65"/>
  <c r="U114" i="65"/>
  <c r="S114" i="65"/>
  <c r="M114" i="65"/>
  <c r="AA113" i="65"/>
  <c r="U113" i="65"/>
  <c r="S113" i="65"/>
  <c r="M113" i="65"/>
  <c r="AA112" i="65"/>
  <c r="U112" i="65"/>
  <c r="S112" i="65"/>
  <c r="M112" i="65"/>
  <c r="AA111" i="65"/>
  <c r="U111" i="65"/>
  <c r="M111" i="65"/>
  <c r="AA110" i="65"/>
  <c r="U110" i="65"/>
  <c r="S110" i="65"/>
  <c r="M110" i="65"/>
  <c r="AA109" i="65"/>
  <c r="U109" i="65"/>
  <c r="S109" i="65"/>
  <c r="M109" i="65"/>
  <c r="AA108" i="65"/>
  <c r="U108" i="65"/>
  <c r="S108" i="65"/>
  <c r="M108" i="65"/>
  <c r="AA107" i="65"/>
  <c r="U107" i="65"/>
  <c r="S107" i="65"/>
  <c r="M107" i="65"/>
  <c r="AA106" i="65"/>
  <c r="U106" i="65"/>
  <c r="S106" i="65"/>
  <c r="M106" i="65"/>
  <c r="AA105" i="65"/>
  <c r="U105" i="65"/>
  <c r="S105" i="65"/>
  <c r="M105" i="65"/>
  <c r="AA104" i="65"/>
  <c r="U104" i="65"/>
  <c r="S104" i="65"/>
  <c r="M104" i="65"/>
  <c r="AA103" i="65"/>
  <c r="U103" i="65"/>
  <c r="S103" i="65"/>
  <c r="M103" i="65"/>
  <c r="AA102" i="65"/>
  <c r="U102" i="65"/>
  <c r="S102" i="65"/>
  <c r="M102" i="65"/>
  <c r="AA101" i="65"/>
  <c r="U101" i="65"/>
  <c r="S101" i="65"/>
  <c r="M101" i="65"/>
  <c r="AA100" i="65"/>
  <c r="U100" i="65"/>
  <c r="S100" i="65"/>
  <c r="M100" i="65"/>
  <c r="AA99" i="65"/>
  <c r="U99" i="65"/>
  <c r="S99" i="65"/>
  <c r="M99" i="65"/>
  <c r="M98" i="65"/>
  <c r="S98" i="65"/>
  <c r="U98" i="65"/>
  <c r="AA98" i="65"/>
  <c r="AG96" i="65"/>
  <c r="AA190" i="65"/>
  <c r="U190" i="65"/>
  <c r="S190" i="65"/>
  <c r="M190" i="65"/>
  <c r="AA189" i="65"/>
  <c r="U189" i="65"/>
  <c r="S189" i="65"/>
  <c r="M189" i="65"/>
  <c r="AA188" i="65"/>
  <c r="U188" i="65"/>
  <c r="S188" i="65"/>
  <c r="M188" i="65"/>
  <c r="AA187" i="65"/>
  <c r="U187" i="65"/>
  <c r="S187" i="65"/>
  <c r="M187" i="65"/>
  <c r="AA97" i="65"/>
  <c r="U97" i="65"/>
  <c r="S97" i="65"/>
  <c r="M97" i="65"/>
  <c r="M46" i="65"/>
  <c r="S46" i="65"/>
  <c r="U46" i="65"/>
  <c r="AA46" i="65"/>
  <c r="M47" i="65"/>
  <c r="S47" i="65"/>
  <c r="U47" i="65"/>
  <c r="AA47" i="65"/>
  <c r="M48" i="65"/>
  <c r="S48" i="65"/>
  <c r="U48" i="65"/>
  <c r="AA48" i="65"/>
  <c r="M49" i="65"/>
  <c r="S49" i="65"/>
  <c r="U49" i="65"/>
  <c r="AA49" i="65"/>
  <c r="M50" i="65"/>
  <c r="S50" i="65"/>
  <c r="U50" i="65"/>
  <c r="AA50" i="65"/>
  <c r="M51" i="65"/>
  <c r="S51" i="65"/>
  <c r="U51" i="65"/>
  <c r="AA51" i="65"/>
  <c r="M52" i="65"/>
  <c r="S52" i="65"/>
  <c r="U52" i="65"/>
  <c r="AA52" i="65"/>
  <c r="M53" i="65"/>
  <c r="S53" i="65"/>
  <c r="U53" i="65"/>
  <c r="AA53" i="65"/>
  <c r="M54" i="65"/>
  <c r="S54" i="65"/>
  <c r="U54" i="65"/>
  <c r="AA54" i="65"/>
  <c r="M55" i="65"/>
  <c r="S55" i="65"/>
  <c r="U55" i="65"/>
  <c r="AA55" i="65"/>
  <c r="M56" i="65"/>
  <c r="S56" i="65"/>
  <c r="U56" i="65"/>
  <c r="AA56" i="65"/>
  <c r="M57" i="65"/>
  <c r="S57" i="65"/>
  <c r="U57" i="65"/>
  <c r="AA57" i="65"/>
  <c r="M58" i="65"/>
  <c r="S58" i="65"/>
  <c r="U58" i="65"/>
  <c r="AA58" i="65"/>
  <c r="M59" i="65"/>
  <c r="S59" i="65"/>
  <c r="U59" i="65"/>
  <c r="AA59" i="65"/>
  <c r="M60" i="65"/>
  <c r="S60" i="65"/>
  <c r="U60" i="65"/>
  <c r="AA60" i="65"/>
  <c r="M61" i="65"/>
  <c r="S61" i="65"/>
  <c r="U61" i="65"/>
  <c r="AA61" i="65"/>
  <c r="M62" i="65"/>
  <c r="S62" i="65"/>
  <c r="U62" i="65"/>
  <c r="AA62" i="65"/>
  <c r="M63" i="65"/>
  <c r="S63" i="65"/>
  <c r="U63" i="65"/>
  <c r="AA63" i="65"/>
  <c r="M64" i="65"/>
  <c r="S64" i="65"/>
  <c r="U64" i="65"/>
  <c r="AA64" i="65"/>
  <c r="M65" i="65"/>
  <c r="S65" i="65"/>
  <c r="U65" i="65"/>
  <c r="AA65" i="65"/>
  <c r="M66" i="65"/>
  <c r="S66" i="65"/>
  <c r="U66" i="65"/>
  <c r="AA66" i="65"/>
  <c r="M67" i="65"/>
  <c r="S67" i="65"/>
  <c r="U67" i="65"/>
  <c r="AA67" i="65"/>
  <c r="M68" i="65"/>
  <c r="S68" i="65"/>
  <c r="U68" i="65"/>
  <c r="AA68" i="65"/>
  <c r="M69" i="65"/>
  <c r="S69" i="65"/>
  <c r="U69" i="65"/>
  <c r="AA69" i="65"/>
  <c r="M70" i="65"/>
  <c r="S70" i="65"/>
  <c r="U70" i="65"/>
  <c r="AA70" i="65"/>
  <c r="M71" i="65"/>
  <c r="S71" i="65"/>
  <c r="U71" i="65"/>
  <c r="AA71" i="65"/>
  <c r="M72" i="65"/>
  <c r="S72" i="65"/>
  <c r="U72" i="65"/>
  <c r="AA72" i="65"/>
  <c r="M73" i="65"/>
  <c r="S73" i="65"/>
  <c r="U73" i="65"/>
  <c r="AA73" i="65"/>
  <c r="M74" i="65"/>
  <c r="S74" i="65"/>
  <c r="U74" i="65"/>
  <c r="AA74" i="65"/>
  <c r="M75" i="65"/>
  <c r="S75" i="65"/>
  <c r="U75" i="65"/>
  <c r="AA75" i="65"/>
  <c r="M76" i="65"/>
  <c r="S76" i="65"/>
  <c r="U76" i="65"/>
  <c r="AA76" i="65"/>
  <c r="M77" i="65"/>
  <c r="S77" i="65"/>
  <c r="U77" i="65"/>
  <c r="AA77" i="65"/>
  <c r="M78" i="65"/>
  <c r="S78" i="65"/>
  <c r="U78" i="65"/>
  <c r="AA78" i="65"/>
  <c r="M79" i="65"/>
  <c r="S79" i="65"/>
  <c r="U79" i="65"/>
  <c r="AA79" i="65"/>
  <c r="M80" i="65"/>
  <c r="S80" i="65"/>
  <c r="U80" i="65"/>
  <c r="AA80" i="65"/>
  <c r="M81" i="65"/>
  <c r="S81" i="65"/>
  <c r="U81" i="65"/>
  <c r="AA81" i="65"/>
  <c r="M82" i="65"/>
  <c r="S82" i="65"/>
  <c r="U82" i="65"/>
  <c r="AA82" i="65"/>
  <c r="M83" i="65"/>
  <c r="S83" i="65"/>
  <c r="U83" i="65"/>
  <c r="AA83" i="65"/>
  <c r="M84" i="65"/>
  <c r="S84" i="65"/>
  <c r="U84" i="65"/>
  <c r="AA84" i="65"/>
  <c r="M85" i="65"/>
  <c r="S85" i="65"/>
  <c r="U85" i="65"/>
  <c r="AA85" i="65"/>
  <c r="M86" i="65"/>
  <c r="S86" i="65"/>
  <c r="U86" i="65"/>
  <c r="AA86" i="65"/>
  <c r="M87" i="65"/>
  <c r="S87" i="65"/>
  <c r="U87" i="65"/>
  <c r="AA87" i="65"/>
  <c r="M88" i="65"/>
  <c r="S88" i="65"/>
  <c r="U88" i="65"/>
  <c r="AA88" i="65"/>
  <c r="M89" i="65"/>
  <c r="S89" i="65"/>
  <c r="U89" i="65"/>
  <c r="AA89" i="65"/>
  <c r="M90" i="65"/>
  <c r="S90" i="65"/>
  <c r="U90" i="65"/>
  <c r="AA90" i="65"/>
  <c r="M91" i="65"/>
  <c r="S91" i="65"/>
  <c r="U91" i="65"/>
  <c r="AA91" i="65"/>
  <c r="M92" i="65"/>
  <c r="S92" i="65"/>
  <c r="U92" i="65"/>
  <c r="AA92" i="65"/>
  <c r="M93" i="65"/>
  <c r="S93" i="65"/>
  <c r="U93" i="65"/>
  <c r="AA93" i="65"/>
  <c r="M94" i="65"/>
  <c r="S94" i="65"/>
  <c r="U94" i="65"/>
  <c r="AA94" i="65"/>
  <c r="M95" i="65"/>
  <c r="S95" i="65"/>
  <c r="U95" i="65"/>
  <c r="AA95" i="65"/>
  <c r="AG13" i="65"/>
  <c r="AA17" i="65"/>
  <c r="AA18" i="65"/>
  <c r="AA19" i="65"/>
  <c r="AA20" i="65"/>
  <c r="AA21" i="65"/>
  <c r="AA22" i="65"/>
  <c r="AA23" i="65"/>
  <c r="AA24" i="65"/>
  <c r="AA25" i="65"/>
  <c r="AA26" i="65"/>
  <c r="AA27" i="65"/>
  <c r="AA28" i="65"/>
  <c r="AA29" i="65"/>
  <c r="AA30" i="65"/>
  <c r="AA31" i="65"/>
  <c r="AA32" i="65"/>
  <c r="AA33" i="65"/>
  <c r="AA34" i="65"/>
  <c r="AA35" i="65"/>
  <c r="AA36" i="65"/>
  <c r="AA37" i="65"/>
  <c r="AA38" i="65"/>
  <c r="AA39" i="65"/>
  <c r="AA40" i="65"/>
  <c r="AA41" i="65"/>
  <c r="AA42" i="65"/>
  <c r="AA43" i="65"/>
  <c r="AA44" i="65"/>
  <c r="AA45" i="65"/>
  <c r="AA16" i="65"/>
  <c r="M41" i="65"/>
  <c r="S41" i="65"/>
  <c r="U41" i="65"/>
  <c r="M42" i="65"/>
  <c r="S42" i="65"/>
  <c r="U42" i="65"/>
  <c r="M43" i="65"/>
  <c r="S43" i="65"/>
  <c r="U43" i="65"/>
  <c r="M44" i="65"/>
  <c r="S44" i="65"/>
  <c r="U44" i="65"/>
  <c r="M45" i="65"/>
  <c r="S45" i="65"/>
  <c r="U45" i="65"/>
  <c r="AH13" i="65"/>
  <c r="AI13" i="65"/>
  <c r="AJ13" i="65"/>
  <c r="AK13" i="65"/>
  <c r="AL13" i="65"/>
  <c r="AM13" i="65"/>
  <c r="AN13" i="65"/>
  <c r="U40" i="65"/>
  <c r="S40" i="65"/>
  <c r="M40" i="65"/>
  <c r="U39" i="65"/>
  <c r="S39" i="65"/>
  <c r="M39" i="65"/>
  <c r="U38" i="65"/>
  <c r="S38" i="65"/>
  <c r="M38" i="65"/>
  <c r="U37" i="65"/>
  <c r="S37" i="65"/>
  <c r="M37" i="65"/>
  <c r="U36" i="65"/>
  <c r="S36" i="65"/>
  <c r="M36" i="65"/>
  <c r="U35" i="65"/>
  <c r="S35" i="65"/>
  <c r="M35" i="65"/>
  <c r="U34" i="65"/>
  <c r="S34" i="65"/>
  <c r="M34" i="65"/>
  <c r="U24" i="65"/>
  <c r="U33" i="65"/>
  <c r="S33" i="65"/>
  <c r="M33" i="65"/>
  <c r="U32" i="65"/>
  <c r="S32" i="65"/>
  <c r="M32" i="65"/>
  <c r="U31" i="65"/>
  <c r="S31" i="65"/>
  <c r="M31" i="65"/>
  <c r="U30" i="65"/>
  <c r="S30" i="65"/>
  <c r="M30" i="65"/>
  <c r="U29" i="65"/>
  <c r="S29" i="65"/>
  <c r="M29" i="65"/>
  <c r="U28" i="65"/>
  <c r="S28" i="65"/>
  <c r="M28" i="65"/>
  <c r="U27" i="65"/>
  <c r="S27" i="65"/>
  <c r="M27" i="65"/>
  <c r="U26" i="65"/>
  <c r="S26" i="65"/>
  <c r="M26" i="65"/>
  <c r="U25" i="65"/>
  <c r="S25" i="65"/>
  <c r="M25" i="65"/>
  <c r="S24" i="65"/>
  <c r="M24" i="65"/>
  <c r="U23" i="65"/>
  <c r="S23" i="65"/>
  <c r="M23" i="65"/>
  <c r="U22" i="65"/>
  <c r="S22" i="65"/>
  <c r="M22" i="65"/>
  <c r="U21" i="65"/>
  <c r="S21" i="65"/>
  <c r="M21" i="65"/>
  <c r="U20" i="65"/>
  <c r="S20" i="65"/>
  <c r="M20" i="65"/>
  <c r="M17" i="65"/>
  <c r="S17" i="65"/>
  <c r="U17" i="65"/>
  <c r="M18" i="65"/>
  <c r="S18" i="65"/>
  <c r="U18" i="65"/>
  <c r="M19" i="65"/>
  <c r="S19" i="65"/>
  <c r="U19" i="65"/>
  <c r="S16" i="65"/>
  <c r="U16" i="65"/>
  <c r="M16" i="65"/>
  <c r="BE299" i="65"/>
  <c r="BD299" i="65"/>
  <c r="AY299" i="65"/>
  <c r="AX299" i="65"/>
  <c r="AW299" i="65"/>
  <c r="AV299" i="65"/>
  <c r="AU299" i="65"/>
  <c r="AT299" i="65"/>
  <c r="AS299" i="65"/>
  <c r="AR299" i="65"/>
  <c r="AQ299" i="65"/>
  <c r="AP299" i="65"/>
  <c r="AO299" i="65"/>
  <c r="AN299" i="65"/>
  <c r="AM299" i="65"/>
  <c r="AL299" i="65"/>
  <c r="AK299" i="65"/>
  <c r="AJ299" i="65"/>
  <c r="AI299" i="65"/>
  <c r="AH299" i="65"/>
  <c r="AG299" i="65"/>
  <c r="AF299" i="65"/>
  <c r="AE299" i="65"/>
  <c r="AD299" i="65"/>
  <c r="AC299" i="65"/>
  <c r="AB299" i="65"/>
  <c r="AA299" i="65"/>
  <c r="Z299" i="65"/>
  <c r="Y299" i="65"/>
  <c r="X299" i="65"/>
  <c r="W299" i="65"/>
  <c r="V299" i="65"/>
  <c r="U299" i="65"/>
  <c r="T299" i="65"/>
  <c r="S299" i="65"/>
  <c r="R299" i="65"/>
  <c r="Q299" i="65"/>
  <c r="P299" i="65"/>
  <c r="O299" i="65"/>
  <c r="N299" i="65"/>
  <c r="M299" i="65"/>
  <c r="H299" i="65"/>
  <c r="H190" i="65"/>
  <c r="H189" i="65"/>
  <c r="H188" i="65"/>
  <c r="H187" i="65"/>
  <c r="H186" i="65"/>
  <c r="H152" i="65"/>
  <c r="H151" i="65"/>
  <c r="H121" i="65"/>
  <c r="H99" i="65"/>
  <c r="H98" i="65"/>
  <c r="H97" i="65"/>
  <c r="H96" i="65"/>
  <c r="BF10" i="65"/>
  <c r="AZ10" i="65"/>
  <c r="AZ202" i="65" s="1"/>
  <c r="AB10" i="65"/>
  <c r="AB264" i="65" s="1"/>
  <c r="V10" i="65"/>
  <c r="V256" i="65" s="1"/>
  <c r="T10" i="65"/>
  <c r="T261" i="65" s="1"/>
  <c r="N10" i="65"/>
  <c r="N264" i="65" s="1"/>
  <c r="E6" i="65"/>
  <c r="BC10" i="61"/>
  <c r="BD10" i="61" s="1"/>
  <c r="BE10" i="61" s="1"/>
  <c r="BF10" i="61" s="1"/>
  <c r="BI10" i="61"/>
  <c r="BJ10" i="61" s="1"/>
  <c r="BK10" i="61" s="1"/>
  <c r="AY280" i="65" l="1"/>
  <c r="AV254" i="65"/>
  <c r="AR251" i="65"/>
  <c r="AS241" i="65"/>
  <c r="BE234" i="65"/>
  <c r="AX229" i="65"/>
  <c r="AM225" i="65"/>
  <c r="AM269" i="65"/>
  <c r="AM280" i="65"/>
  <c r="AT298" i="65"/>
  <c r="BD258" i="65"/>
  <c r="AS252" i="65"/>
  <c r="AN251" i="65"/>
  <c r="BE237" i="65"/>
  <c r="AS239" i="65"/>
  <c r="AN243" i="65"/>
  <c r="AW234" i="65"/>
  <c r="AL231" i="65"/>
  <c r="AQ227" i="65"/>
  <c r="AL274" i="65"/>
  <c r="AU269" i="65"/>
  <c r="AT266" i="65"/>
  <c r="AQ278" i="65"/>
  <c r="AQ280" i="65"/>
  <c r="BE282" i="65"/>
  <c r="AR286" i="65"/>
  <c r="AN294" i="65"/>
  <c r="T292" i="65"/>
  <c r="AY258" i="65"/>
  <c r="AT258" i="65"/>
  <c r="AP258" i="65"/>
  <c r="AL258" i="65"/>
  <c r="BD252" i="65"/>
  <c r="AV252" i="65"/>
  <c r="AR252" i="65"/>
  <c r="AN252" i="65"/>
  <c r="AL239" i="65"/>
  <c r="AP239" i="65"/>
  <c r="AT239" i="65"/>
  <c r="AX239" i="65"/>
  <c r="AO243" i="65"/>
  <c r="AS243" i="65"/>
  <c r="AX243" i="65"/>
  <c r="AX231" i="65"/>
  <c r="AS231" i="65"/>
  <c r="AO231" i="65"/>
  <c r="AX227" i="65"/>
  <c r="AT227" i="65"/>
  <c r="AP227" i="65"/>
  <c r="AL227" i="65"/>
  <c r="BE274" i="65"/>
  <c r="AW274" i="65"/>
  <c r="AS274" i="65"/>
  <c r="AO274" i="65"/>
  <c r="AM266" i="65"/>
  <c r="AQ266" i="65"/>
  <c r="AU266" i="65"/>
  <c r="AY266" i="65"/>
  <c r="AY278" i="65"/>
  <c r="AO282" i="65"/>
  <c r="AT282" i="65"/>
  <c r="AX282" i="65"/>
  <c r="AL290" i="65"/>
  <c r="AQ290" i="65"/>
  <c r="AW290" i="65"/>
  <c r="AX258" i="65"/>
  <c r="AS258" i="65"/>
  <c r="AO258" i="65"/>
  <c r="AY252" i="65"/>
  <c r="AU252" i="65"/>
  <c r="AQ252" i="65"/>
  <c r="AM252" i="65"/>
  <c r="AM239" i="65"/>
  <c r="AQ239" i="65"/>
  <c r="AU239" i="65"/>
  <c r="AY239" i="65"/>
  <c r="AL243" i="65"/>
  <c r="AP243" i="65"/>
  <c r="AT243" i="65"/>
  <c r="AY243" i="65"/>
  <c r="BE231" i="65"/>
  <c r="AW231" i="65"/>
  <c r="AR231" i="65"/>
  <c r="AN231" i="65"/>
  <c r="BE227" i="65"/>
  <c r="AW227" i="65"/>
  <c r="AS227" i="65"/>
  <c r="AO227" i="65"/>
  <c r="BD274" i="65"/>
  <c r="AV274" i="65"/>
  <c r="AR274" i="65"/>
  <c r="AN274" i="65"/>
  <c r="AP270" i="65"/>
  <c r="AN266" i="65"/>
  <c r="AR266" i="65"/>
  <c r="AV266" i="65"/>
  <c r="BD266" i="65"/>
  <c r="AM262" i="65"/>
  <c r="AL282" i="65"/>
  <c r="AQ282" i="65"/>
  <c r="AU282" i="65"/>
  <c r="AY282" i="65"/>
  <c r="AM290" i="65"/>
  <c r="AS290" i="65"/>
  <c r="AX290" i="65"/>
  <c r="N257" i="65"/>
  <c r="BE258" i="65"/>
  <c r="AW258" i="65"/>
  <c r="AR258" i="65"/>
  <c r="AX252" i="65"/>
  <c r="AT252" i="65"/>
  <c r="AP252" i="65"/>
  <c r="AN239" i="65"/>
  <c r="AR239" i="65"/>
  <c r="AV239" i="65"/>
  <c r="AM243" i="65"/>
  <c r="AQ243" i="65"/>
  <c r="AU243" i="65"/>
  <c r="BD231" i="65"/>
  <c r="AU231" i="65"/>
  <c r="AQ231" i="65"/>
  <c r="BD227" i="65"/>
  <c r="AV227" i="65"/>
  <c r="AR227" i="65"/>
  <c r="AY274" i="65"/>
  <c r="AU274" i="65"/>
  <c r="AQ274" i="65"/>
  <c r="AX270" i="65"/>
  <c r="AO266" i="65"/>
  <c r="AS266" i="65"/>
  <c r="AW266" i="65"/>
  <c r="AU262" i="65"/>
  <c r="AM282" i="65"/>
  <c r="AR282" i="65"/>
  <c r="AV282" i="65"/>
  <c r="AO290" i="65"/>
  <c r="AT290" i="65"/>
  <c r="AN280" i="65"/>
  <c r="BD294" i="65"/>
  <c r="AL298" i="65"/>
  <c r="AU298" i="65"/>
  <c r="AN254" i="65"/>
  <c r="BD251" i="65"/>
  <c r="AS237" i="65"/>
  <c r="AM242" i="65"/>
  <c r="BD246" i="65"/>
  <c r="AS234" i="65"/>
  <c r="AW233" i="65"/>
  <c r="AY230" i="65"/>
  <c r="AP229" i="65"/>
  <c r="AY225" i="65"/>
  <c r="AS268" i="65"/>
  <c r="AS260" i="65"/>
  <c r="AO280" i="65"/>
  <c r="AS280" i="65"/>
  <c r="AW280" i="65"/>
  <c r="BE280" i="65"/>
  <c r="AV284" i="65"/>
  <c r="BE294" i="65"/>
  <c r="AM298" i="65"/>
  <c r="AX298" i="65"/>
  <c r="T291" i="65"/>
  <c r="AR254" i="65"/>
  <c r="AO237" i="65"/>
  <c r="AV246" i="65"/>
  <c r="BE233" i="65"/>
  <c r="AT229" i="65"/>
  <c r="AR280" i="65"/>
  <c r="AV280" i="65"/>
  <c r="BD280" i="65"/>
  <c r="AO284" i="65"/>
  <c r="BD254" i="65"/>
  <c r="AV251" i="65"/>
  <c r="AW237" i="65"/>
  <c r="AO241" i="65"/>
  <c r="AR242" i="65"/>
  <c r="AN246" i="65"/>
  <c r="AO234" i="65"/>
  <c r="AL229" i="65"/>
  <c r="AU225" i="65"/>
  <c r="V218" i="65"/>
  <c r="AN272" i="65"/>
  <c r="AL280" i="65"/>
  <c r="AP280" i="65"/>
  <c r="AT280" i="65"/>
  <c r="AW284" i="65"/>
  <c r="AM294" i="65"/>
  <c r="AP298" i="65"/>
  <c r="V257" i="65"/>
  <c r="AQ256" i="65"/>
  <c r="AQ270" i="65"/>
  <c r="AY270" i="65"/>
  <c r="AN262" i="65"/>
  <c r="AV262" i="65"/>
  <c r="AR278" i="65"/>
  <c r="BD278" i="65"/>
  <c r="AS286" i="65"/>
  <c r="AL296" i="65"/>
  <c r="AX296" i="65"/>
  <c r="AR270" i="65"/>
  <c r="BD270" i="65"/>
  <c r="AO262" i="65"/>
  <c r="AW262" i="65"/>
  <c r="AS278" i="65"/>
  <c r="BE278" i="65"/>
  <c r="AT286" i="65"/>
  <c r="AM296" i="65"/>
  <c r="AY296" i="65"/>
  <c r="AU256" i="65"/>
  <c r="AS270" i="65"/>
  <c r="BE270" i="65"/>
  <c r="AP262" i="65"/>
  <c r="AX262" i="65"/>
  <c r="AL278" i="65"/>
  <c r="AT278" i="65"/>
  <c r="AV286" i="65"/>
  <c r="AO296" i="65"/>
  <c r="BD296" i="65"/>
  <c r="AL270" i="65"/>
  <c r="AT270" i="65"/>
  <c r="AQ262" i="65"/>
  <c r="AY262" i="65"/>
  <c r="AM278" i="65"/>
  <c r="AU278" i="65"/>
  <c r="AL286" i="65"/>
  <c r="AW286" i="65"/>
  <c r="AQ296" i="65"/>
  <c r="AM270" i="65"/>
  <c r="AU270" i="65"/>
  <c r="AR262" i="65"/>
  <c r="BD262" i="65"/>
  <c r="AN278" i="65"/>
  <c r="AV278" i="65"/>
  <c r="AN286" i="65"/>
  <c r="AX286" i="65"/>
  <c r="AR296" i="65"/>
  <c r="AN270" i="65"/>
  <c r="AV270" i="65"/>
  <c r="AS262" i="65"/>
  <c r="BE262" i="65"/>
  <c r="AO278" i="65"/>
  <c r="AW278" i="65"/>
  <c r="AO286" i="65"/>
  <c r="BE286" i="65"/>
  <c r="AT296" i="65"/>
  <c r="AO270" i="65"/>
  <c r="AL262" i="65"/>
  <c r="AP278" i="65"/>
  <c r="AU238" i="65"/>
  <c r="BE273" i="65"/>
  <c r="AT265" i="65"/>
  <c r="AA186" i="65"/>
  <c r="AY238" i="65"/>
  <c r="AW255" i="65"/>
  <c r="AU230" i="65"/>
  <c r="AS255" i="65"/>
  <c r="AL247" i="65"/>
  <c r="AQ230" i="65"/>
  <c r="AN255" i="65"/>
  <c r="AP247" i="65"/>
  <c r="AL230" i="65"/>
  <c r="AM238" i="65"/>
  <c r="AT247" i="65"/>
  <c r="AQ238" i="65"/>
  <c r="AX247" i="65"/>
  <c r="AT291" i="65"/>
  <c r="AW226" i="65"/>
  <c r="AM275" i="65"/>
  <c r="BD267" i="65"/>
  <c r="AP283" i="65"/>
  <c r="S186" i="65"/>
  <c r="BD259" i="65"/>
  <c r="AQ259" i="65"/>
  <c r="AO240" i="65"/>
  <c r="AW240" i="65"/>
  <c r="AU232" i="65"/>
  <c r="AM232" i="65"/>
  <c r="BD226" i="65"/>
  <c r="AR226" i="65"/>
  <c r="AX275" i="65"/>
  <c r="AP275" i="65"/>
  <c r="AO267" i="65"/>
  <c r="AW267" i="65"/>
  <c r="AZ261" i="65"/>
  <c r="AL283" i="65"/>
  <c r="AX283" i="65"/>
  <c r="AL284" i="65"/>
  <c r="AT284" i="65"/>
  <c r="AV293" i="65"/>
  <c r="AV294" i="65"/>
  <c r="AN291" i="65"/>
  <c r="AB292" i="65"/>
  <c r="BD240" i="65"/>
  <c r="U186" i="65"/>
  <c r="AX259" i="65"/>
  <c r="AP259" i="65"/>
  <c r="AP240" i="65"/>
  <c r="AX240" i="65"/>
  <c r="AT232" i="65"/>
  <c r="AL232" i="65"/>
  <c r="AY226" i="65"/>
  <c r="AQ226" i="65"/>
  <c r="N215" i="65"/>
  <c r="AW275" i="65"/>
  <c r="AO275" i="65"/>
  <c r="AP267" i="65"/>
  <c r="AX267" i="65"/>
  <c r="AN283" i="65"/>
  <c r="AY283" i="65"/>
  <c r="AM284" i="65"/>
  <c r="AU284" i="65"/>
  <c r="AL293" i="65"/>
  <c r="AW293" i="65"/>
  <c r="AW294" i="65"/>
  <c r="T257" i="65"/>
  <c r="AB257" i="65"/>
  <c r="N244" i="65"/>
  <c r="V244" i="65"/>
  <c r="AP291" i="65"/>
  <c r="AR240" i="65"/>
  <c r="BE232" i="65"/>
  <c r="BD293" i="65"/>
  <c r="BF268" i="65"/>
  <c r="AU259" i="65"/>
  <c r="AM259" i="65"/>
  <c r="BD250" i="65"/>
  <c r="AS240" i="65"/>
  <c r="BE240" i="65"/>
  <c r="AW241" i="65"/>
  <c r="AS233" i="65"/>
  <c r="BD232" i="65"/>
  <c r="AQ232" i="65"/>
  <c r="AV226" i="65"/>
  <c r="AN226" i="65"/>
  <c r="AT275" i="65"/>
  <c r="AL275" i="65"/>
  <c r="N266" i="65"/>
  <c r="AS267" i="65"/>
  <c r="BE267" i="65"/>
  <c r="AZ262" i="65"/>
  <c r="AR283" i="65"/>
  <c r="AP284" i="65"/>
  <c r="AX284" i="65"/>
  <c r="AP293" i="65"/>
  <c r="BE293" i="65"/>
  <c r="AO294" i="65"/>
  <c r="T256" i="65"/>
  <c r="AB256" i="65"/>
  <c r="AL244" i="65"/>
  <c r="N291" i="65"/>
  <c r="V291" i="65"/>
  <c r="AX291" i="65"/>
  <c r="N292" i="65"/>
  <c r="V292" i="65"/>
  <c r="AN259" i="65"/>
  <c r="AU275" i="65"/>
  <c r="AV291" i="65"/>
  <c r="AT259" i="65"/>
  <c r="AL259" i="65"/>
  <c r="AV250" i="65"/>
  <c r="AL240" i="65"/>
  <c r="AT240" i="65"/>
  <c r="BE241" i="65"/>
  <c r="AO233" i="65"/>
  <c r="AX232" i="65"/>
  <c r="AP232" i="65"/>
  <c r="AU226" i="65"/>
  <c r="AM226" i="65"/>
  <c r="BE275" i="65"/>
  <c r="AS275" i="65"/>
  <c r="N273" i="65"/>
  <c r="AL267" i="65"/>
  <c r="AT267" i="65"/>
  <c r="AS283" i="65"/>
  <c r="AQ284" i="65"/>
  <c r="BD284" i="65"/>
  <c r="AR293" i="65"/>
  <c r="AQ294" i="65"/>
  <c r="AP244" i="65"/>
  <c r="AB291" i="65"/>
  <c r="AV259" i="65"/>
  <c r="AO226" i="65"/>
  <c r="AR267" i="65"/>
  <c r="AO293" i="65"/>
  <c r="AS259" i="65"/>
  <c r="AR250" i="65"/>
  <c r="AM240" i="65"/>
  <c r="AU240" i="65"/>
  <c r="AW232" i="65"/>
  <c r="AO232" i="65"/>
  <c r="AT226" i="65"/>
  <c r="AL226" i="65"/>
  <c r="AZ196" i="65"/>
  <c r="BD275" i="65"/>
  <c r="AR275" i="65"/>
  <c r="AM267" i="65"/>
  <c r="AU267" i="65"/>
  <c r="N276" i="65"/>
  <c r="AT283" i="65"/>
  <c r="AR284" i="65"/>
  <c r="BE284" i="65"/>
  <c r="AS293" i="65"/>
  <c r="AR294" i="65"/>
  <c r="AL257" i="65"/>
  <c r="N256" i="65"/>
  <c r="BD291" i="65"/>
  <c r="AR232" i="65"/>
  <c r="M186" i="65"/>
  <c r="BE259" i="65"/>
  <c r="AN250" i="65"/>
  <c r="AN240" i="65"/>
  <c r="AV232" i="65"/>
  <c r="BE226" i="65"/>
  <c r="AY275" i="65"/>
  <c r="AN267" i="65"/>
  <c r="AU294" i="65"/>
  <c r="AQ257" i="65"/>
  <c r="T244" i="65"/>
  <c r="AB244" i="65"/>
  <c r="AL291" i="65"/>
  <c r="BF291" i="65"/>
  <c r="AW268" i="65"/>
  <c r="AO264" i="65"/>
  <c r="AW260" i="65"/>
  <c r="AY292" i="65"/>
  <c r="AV272" i="65"/>
  <c r="AS264" i="65"/>
  <c r="AS294" i="65"/>
  <c r="AP297" i="65"/>
  <c r="AQ298" i="65"/>
  <c r="AY257" i="65"/>
  <c r="AY256" i="65"/>
  <c r="AY244" i="65"/>
  <c r="AR291" i="65"/>
  <c r="AZ291" i="65"/>
  <c r="AM292" i="65"/>
  <c r="AR272" i="65"/>
  <c r="AQ292" i="65"/>
  <c r="AU292" i="65"/>
  <c r="AM291" i="65"/>
  <c r="AQ291" i="65"/>
  <c r="AU291" i="65"/>
  <c r="AY291" i="65"/>
  <c r="AN292" i="65"/>
  <c r="AR292" i="65"/>
  <c r="AV292" i="65"/>
  <c r="AZ292" i="65"/>
  <c r="BD292" i="65"/>
  <c r="AO292" i="65"/>
  <c r="AS292" i="65"/>
  <c r="AW292" i="65"/>
  <c r="BE292" i="65"/>
  <c r="AO291" i="65"/>
  <c r="AS291" i="65"/>
  <c r="AW291" i="65"/>
  <c r="BE291" i="65"/>
  <c r="AL292" i="65"/>
  <c r="AP292" i="65"/>
  <c r="AT292" i="65"/>
  <c r="AX292" i="65"/>
  <c r="BF292" i="65"/>
  <c r="AM244" i="65"/>
  <c r="AQ244" i="65"/>
  <c r="AU244" i="65"/>
  <c r="AZ244" i="65"/>
  <c r="BD244" i="65"/>
  <c r="AN244" i="65"/>
  <c r="AR244" i="65"/>
  <c r="AW244" i="65"/>
  <c r="BE244" i="65"/>
  <c r="AO244" i="65"/>
  <c r="AS244" i="65"/>
  <c r="AX244" i="65"/>
  <c r="BF244" i="65"/>
  <c r="AM256" i="65"/>
  <c r="AR256" i="65"/>
  <c r="AV256" i="65"/>
  <c r="AZ256" i="65"/>
  <c r="BD256" i="65"/>
  <c r="AN256" i="65"/>
  <c r="AS256" i="65"/>
  <c r="AW256" i="65"/>
  <c r="BE256" i="65"/>
  <c r="AO256" i="65"/>
  <c r="AT256" i="65"/>
  <c r="AX256" i="65"/>
  <c r="BF256" i="65"/>
  <c r="AM257" i="65"/>
  <c r="AR257" i="65"/>
  <c r="AV257" i="65"/>
  <c r="AZ257" i="65"/>
  <c r="BD257" i="65"/>
  <c r="AN257" i="65"/>
  <c r="AS257" i="65"/>
  <c r="AW257" i="65"/>
  <c r="BE257" i="65"/>
  <c r="AO257" i="65"/>
  <c r="AT257" i="65"/>
  <c r="AX257" i="65"/>
  <c r="BF257" i="65"/>
  <c r="BE295" i="65"/>
  <c r="AZ295" i="65"/>
  <c r="AU295" i="65"/>
  <c r="AO295" i="65"/>
  <c r="BD295" i="65"/>
  <c r="AY295" i="65"/>
  <c r="AS295" i="65"/>
  <c r="AN295" i="65"/>
  <c r="AW295" i="65"/>
  <c r="AR295" i="65"/>
  <c r="AM295" i="65"/>
  <c r="AV295" i="65"/>
  <c r="AQ295" i="65"/>
  <c r="BF275" i="65"/>
  <c r="BD261" i="65"/>
  <c r="AY261" i="65"/>
  <c r="AU261" i="65"/>
  <c r="AQ261" i="65"/>
  <c r="AM261" i="65"/>
  <c r="BE261" i="65"/>
  <c r="AX261" i="65"/>
  <c r="AS261" i="65"/>
  <c r="AN261" i="65"/>
  <c r="AW261" i="65"/>
  <c r="AR261" i="65"/>
  <c r="AL261" i="65"/>
  <c r="AV261" i="65"/>
  <c r="AP261" i="65"/>
  <c r="BF265" i="65"/>
  <c r="AW265" i="65"/>
  <c r="AS265" i="65"/>
  <c r="AO265" i="65"/>
  <c r="BD265" i="65"/>
  <c r="AX265" i="65"/>
  <c r="AR265" i="65"/>
  <c r="AM265" i="65"/>
  <c r="AZ265" i="65"/>
  <c r="AU265" i="65"/>
  <c r="AP265" i="65"/>
  <c r="AX269" i="65"/>
  <c r="AT269" i="65"/>
  <c r="AP269" i="65"/>
  <c r="AL269" i="65"/>
  <c r="BE269" i="65"/>
  <c r="AZ269" i="65"/>
  <c r="AV269" i="65"/>
  <c r="AR269" i="65"/>
  <c r="AN269" i="65"/>
  <c r="AM273" i="65"/>
  <c r="AQ273" i="65"/>
  <c r="AU273" i="65"/>
  <c r="AY273" i="65"/>
  <c r="AW277" i="65"/>
  <c r="AQ277" i="65"/>
  <c r="AL277" i="65"/>
  <c r="BF277" i="65"/>
  <c r="AU277" i="65"/>
  <c r="AP277" i="65"/>
  <c r="BE277" i="65"/>
  <c r="AY277" i="65"/>
  <c r="AT277" i="65"/>
  <c r="AO277" i="65"/>
  <c r="AM277" i="65"/>
  <c r="AX277" i="65"/>
  <c r="AY281" i="65"/>
  <c r="AU281" i="65"/>
  <c r="AQ281" i="65"/>
  <c r="AM281" i="65"/>
  <c r="BF281" i="65"/>
  <c r="AX281" i="65"/>
  <c r="AT281" i="65"/>
  <c r="AP281" i="65"/>
  <c r="AL281" i="65"/>
  <c r="BE281" i="65"/>
  <c r="AW281" i="65"/>
  <c r="AS281" i="65"/>
  <c r="AO281" i="65"/>
  <c r="BD281" i="65"/>
  <c r="AN281" i="65"/>
  <c r="AZ281" i="65"/>
  <c r="AV281" i="65"/>
  <c r="BE285" i="65"/>
  <c r="AZ285" i="65"/>
  <c r="AV285" i="65"/>
  <c r="AR285" i="65"/>
  <c r="AN285" i="65"/>
  <c r="BD285" i="65"/>
  <c r="AY285" i="65"/>
  <c r="AU285" i="65"/>
  <c r="AQ285" i="65"/>
  <c r="AM285" i="65"/>
  <c r="AX285" i="65"/>
  <c r="AT285" i="65"/>
  <c r="AP285" i="65"/>
  <c r="AL285" i="65"/>
  <c r="BF285" i="65"/>
  <c r="AO285" i="65"/>
  <c r="AW285" i="65"/>
  <c r="AS285" i="65"/>
  <c r="AW289" i="65"/>
  <c r="AR289" i="65"/>
  <c r="AM289" i="65"/>
  <c r="AV289" i="65"/>
  <c r="AQ289" i="65"/>
  <c r="BE289" i="65"/>
  <c r="AZ289" i="65"/>
  <c r="AU289" i="65"/>
  <c r="AO289" i="65"/>
  <c r="AN289" i="65"/>
  <c r="BD289" i="65"/>
  <c r="AY289" i="65"/>
  <c r="AS289" i="65"/>
  <c r="V195" i="65"/>
  <c r="V298" i="65"/>
  <c r="V294" i="65"/>
  <c r="V293" i="65"/>
  <c r="V290" i="65"/>
  <c r="V286" i="65"/>
  <c r="V295" i="65"/>
  <c r="V287" i="65"/>
  <c r="V285" i="65"/>
  <c r="V296" i="65"/>
  <c r="V288" i="65"/>
  <c r="V289" i="65"/>
  <c r="V281" i="65"/>
  <c r="V283" i="65"/>
  <c r="V279" i="65"/>
  <c r="V262" i="65"/>
  <c r="V297" i="65"/>
  <c r="V284" i="65"/>
  <c r="V282" i="65"/>
  <c r="V280" i="65"/>
  <c r="V261" i="65"/>
  <c r="V267" i="65"/>
  <c r="V277" i="65"/>
  <c r="V264" i="65"/>
  <c r="V278" i="65"/>
  <c r="V263" i="65"/>
  <c r="V266" i="65"/>
  <c r="V270" i="65"/>
  <c r="V268" i="65"/>
  <c r="BD255" i="65"/>
  <c r="AV255" i="65"/>
  <c r="AR255" i="65"/>
  <c r="AM255" i="65"/>
  <c r="AY251" i="65"/>
  <c r="AU251" i="65"/>
  <c r="AQ251" i="65"/>
  <c r="AM251" i="65"/>
  <c r="AN238" i="65"/>
  <c r="AR238" i="65"/>
  <c r="AV238" i="65"/>
  <c r="BD238" i="65"/>
  <c r="AN242" i="65"/>
  <c r="AS242" i="65"/>
  <c r="AW242" i="65"/>
  <c r="BE242" i="65"/>
  <c r="AM247" i="65"/>
  <c r="AQ247" i="65"/>
  <c r="AU247" i="65"/>
  <c r="AY247" i="65"/>
  <c r="BD234" i="65"/>
  <c r="AV234" i="65"/>
  <c r="AR234" i="65"/>
  <c r="AN234" i="65"/>
  <c r="AX230" i="65"/>
  <c r="AT230" i="65"/>
  <c r="AO230" i="65"/>
  <c r="AX225" i="65"/>
  <c r="AT225" i="65"/>
  <c r="AP225" i="65"/>
  <c r="AL225" i="65"/>
  <c r="BD273" i="65"/>
  <c r="AT273" i="65"/>
  <c r="AO273" i="65"/>
  <c r="V273" i="65"/>
  <c r="V269" i="65"/>
  <c r="AB269" i="65"/>
  <c r="AO269" i="65"/>
  <c r="AW269" i="65"/>
  <c r="BF269" i="65"/>
  <c r="AZ270" i="65"/>
  <c r="N271" i="65"/>
  <c r="T271" i="65"/>
  <c r="N265" i="65"/>
  <c r="V265" i="65"/>
  <c r="AL265" i="65"/>
  <c r="AV265" i="65"/>
  <c r="BF261" i="65"/>
  <c r="AS277" i="65"/>
  <c r="T194" i="65"/>
  <c r="T296" i="65"/>
  <c r="T288" i="65"/>
  <c r="T297" i="65"/>
  <c r="T289" i="65"/>
  <c r="T298" i="65"/>
  <c r="T294" i="65"/>
  <c r="T293" i="65"/>
  <c r="T290" i="65"/>
  <c r="T286" i="65"/>
  <c r="T284" i="65"/>
  <c r="T282" i="65"/>
  <c r="T280" i="65"/>
  <c r="T287" i="65"/>
  <c r="T278" i="65"/>
  <c r="T277" i="65"/>
  <c r="T276" i="65"/>
  <c r="T285" i="65"/>
  <c r="T281" i="65"/>
  <c r="T263" i="65"/>
  <c r="T265" i="65"/>
  <c r="T295" i="65"/>
  <c r="T266" i="65"/>
  <c r="T270" i="65"/>
  <c r="T283" i="65"/>
  <c r="T262" i="65"/>
  <c r="T260" i="65"/>
  <c r="T267" i="65"/>
  <c r="T264" i="65"/>
  <c r="BF209" i="65"/>
  <c r="BF284" i="65"/>
  <c r="BF296" i="65"/>
  <c r="BF297" i="65"/>
  <c r="BF293" i="65"/>
  <c r="BF290" i="65"/>
  <c r="BF283" i="65"/>
  <c r="BF282" i="65"/>
  <c r="BF278" i="65"/>
  <c r="BF286" i="65"/>
  <c r="BF263" i="65"/>
  <c r="BF260" i="65"/>
  <c r="BF271" i="65"/>
  <c r="BF267" i="65"/>
  <c r="BF270" i="65"/>
  <c r="BF280" i="65"/>
  <c r="AB204" i="65"/>
  <c r="AB296" i="65"/>
  <c r="AB288" i="65"/>
  <c r="AB297" i="65"/>
  <c r="AB289" i="65"/>
  <c r="AB298" i="65"/>
  <c r="AB294" i="65"/>
  <c r="AB293" i="65"/>
  <c r="AB290" i="65"/>
  <c r="AB286" i="65"/>
  <c r="AB284" i="65"/>
  <c r="AB282" i="65"/>
  <c r="AB280" i="65"/>
  <c r="AB287" i="65"/>
  <c r="AB278" i="65"/>
  <c r="AB277" i="65"/>
  <c r="AB276" i="65"/>
  <c r="AB285" i="65"/>
  <c r="AB281" i="65"/>
  <c r="AB263" i="65"/>
  <c r="AB265" i="65"/>
  <c r="AB262" i="65"/>
  <c r="AB270" i="65"/>
  <c r="AB268" i="65"/>
  <c r="AB295" i="65"/>
  <c r="AB283" i="65"/>
  <c r="AB261" i="65"/>
  <c r="AB260" i="65"/>
  <c r="AY255" i="65"/>
  <c r="AU255" i="65"/>
  <c r="AQ255" i="65"/>
  <c r="AL255" i="65"/>
  <c r="AX251" i="65"/>
  <c r="AT251" i="65"/>
  <c r="AP251" i="65"/>
  <c r="AL251" i="65"/>
  <c r="AO238" i="65"/>
  <c r="AS238" i="65"/>
  <c r="AW238" i="65"/>
  <c r="BE238" i="65"/>
  <c r="AO242" i="65"/>
  <c r="AT242" i="65"/>
  <c r="AX242" i="65"/>
  <c r="AN247" i="65"/>
  <c r="AR247" i="65"/>
  <c r="AV247" i="65"/>
  <c r="BD247" i="65"/>
  <c r="AY234" i="65"/>
  <c r="AU234" i="65"/>
  <c r="AQ234" i="65"/>
  <c r="AM234" i="65"/>
  <c r="BE230" i="65"/>
  <c r="AW230" i="65"/>
  <c r="AS230" i="65"/>
  <c r="AN230" i="65"/>
  <c r="BE225" i="65"/>
  <c r="AW225" i="65"/>
  <c r="AS225" i="65"/>
  <c r="AO225" i="65"/>
  <c r="AX273" i="65"/>
  <c r="AS273" i="65"/>
  <c r="AN273" i="65"/>
  <c r="T268" i="65"/>
  <c r="AQ269" i="65"/>
  <c r="AY269" i="65"/>
  <c r="BF264" i="65"/>
  <c r="AN265" i="65"/>
  <c r="AY265" i="65"/>
  <c r="BF266" i="65"/>
  <c r="AB267" i="65"/>
  <c r="V260" i="65"/>
  <c r="AO261" i="65"/>
  <c r="AB279" i="65"/>
  <c r="N217" i="65"/>
  <c r="N298" i="65"/>
  <c r="N294" i="65"/>
  <c r="N293" i="65"/>
  <c r="N290" i="65"/>
  <c r="N286" i="65"/>
  <c r="N295" i="65"/>
  <c r="N287" i="65"/>
  <c r="N285" i="65"/>
  <c r="N296" i="65"/>
  <c r="N288" i="65"/>
  <c r="N289" i="65"/>
  <c r="N281" i="65"/>
  <c r="N283" i="65"/>
  <c r="N279" i="65"/>
  <c r="N297" i="65"/>
  <c r="N284" i="65"/>
  <c r="N282" i="65"/>
  <c r="N280" i="65"/>
  <c r="N261" i="65"/>
  <c r="N267" i="65"/>
  <c r="N277" i="65"/>
  <c r="N278" i="65"/>
  <c r="N262" i="65"/>
  <c r="N263" i="65"/>
  <c r="N260" i="65"/>
  <c r="N270" i="65"/>
  <c r="N268" i="65"/>
  <c r="AZ199" i="65"/>
  <c r="AZ296" i="65"/>
  <c r="AZ298" i="65"/>
  <c r="AZ297" i="65"/>
  <c r="AZ284" i="65"/>
  <c r="AZ293" i="65"/>
  <c r="AZ286" i="65"/>
  <c r="AZ279" i="65"/>
  <c r="AZ280" i="65"/>
  <c r="AZ294" i="65"/>
  <c r="AZ282" i="65"/>
  <c r="AZ278" i="65"/>
  <c r="AZ266" i="65"/>
  <c r="AZ271" i="65"/>
  <c r="AZ263" i="65"/>
  <c r="AZ267" i="65"/>
  <c r="AX255" i="65"/>
  <c r="AT255" i="65"/>
  <c r="BE251" i="65"/>
  <c r="AW251" i="65"/>
  <c r="AS251" i="65"/>
  <c r="AL238" i="65"/>
  <c r="AP238" i="65"/>
  <c r="AT238" i="65"/>
  <c r="AL242" i="65"/>
  <c r="AQ242" i="65"/>
  <c r="AU242" i="65"/>
  <c r="AO247" i="65"/>
  <c r="AS247" i="65"/>
  <c r="AW247" i="65"/>
  <c r="AX234" i="65"/>
  <c r="AT234" i="65"/>
  <c r="AP234" i="65"/>
  <c r="BD230" i="65"/>
  <c r="AV230" i="65"/>
  <c r="AR230" i="65"/>
  <c r="BD225" i="65"/>
  <c r="AV225" i="65"/>
  <c r="AR225" i="65"/>
  <c r="T275" i="65"/>
  <c r="AW273" i="65"/>
  <c r="AR273" i="65"/>
  <c r="AL273" i="65"/>
  <c r="AZ272" i="65"/>
  <c r="N269" i="65"/>
  <c r="T269" i="65"/>
  <c r="AS269" i="65"/>
  <c r="V271" i="65"/>
  <c r="AB271" i="65"/>
  <c r="AQ265" i="65"/>
  <c r="AB266" i="65"/>
  <c r="AT261" i="65"/>
  <c r="BF262" i="65"/>
  <c r="V276" i="65"/>
  <c r="T279" i="65"/>
  <c r="AR281" i="65"/>
  <c r="AN298" i="65"/>
  <c r="AR298" i="65"/>
  <c r="AV298" i="65"/>
  <c r="BE298" i="65"/>
  <c r="AO298" i="65"/>
  <c r="AS298" i="65"/>
  <c r="AW298" i="65"/>
  <c r="BF298" i="65"/>
  <c r="AN297" i="65"/>
  <c r="AR297" i="65"/>
  <c r="AW297" i="65"/>
  <c r="BE297" i="65"/>
  <c r="AN296" i="65"/>
  <c r="AS296" i="65"/>
  <c r="AW296" i="65"/>
  <c r="BE296" i="65"/>
  <c r="AL295" i="65"/>
  <c r="AP295" i="65"/>
  <c r="AT295" i="65"/>
  <c r="AX295" i="65"/>
  <c r="BF295" i="65"/>
  <c r="AL294" i="65"/>
  <c r="AP294" i="65"/>
  <c r="AT294" i="65"/>
  <c r="AX294" i="65"/>
  <c r="BF294" i="65"/>
  <c r="AM293" i="65"/>
  <c r="AQ293" i="65"/>
  <c r="AU293" i="65"/>
  <c r="AY293" i="65"/>
  <c r="AN290" i="65"/>
  <c r="AR290" i="65"/>
  <c r="AV290" i="65"/>
  <c r="AZ290" i="65"/>
  <c r="BD290" i="65"/>
  <c r="AL289" i="65"/>
  <c r="AP289" i="65"/>
  <c r="AT289" i="65"/>
  <c r="AX289" i="65"/>
  <c r="BF289" i="65"/>
  <c r="AM286" i="65"/>
  <c r="AQ286" i="65"/>
  <c r="AU286" i="65"/>
  <c r="AY286" i="65"/>
  <c r="BD286" i="65"/>
  <c r="AM283" i="65"/>
  <c r="AQ283" i="65"/>
  <c r="AU283" i="65"/>
  <c r="AZ283" i="65"/>
  <c r="BD283" i="65"/>
  <c r="AL279" i="65"/>
  <c r="AP279" i="65"/>
  <c r="AT279" i="65"/>
  <c r="AX279" i="65"/>
  <c r="BF279" i="65"/>
  <c r="AN277" i="65"/>
  <c r="AR277" i="65"/>
  <c r="AV277" i="65"/>
  <c r="AZ277" i="65"/>
  <c r="BD277" i="65"/>
  <c r="AY254" i="65"/>
  <c r="AU254" i="65"/>
  <c r="AQ254" i="65"/>
  <c r="AM254" i="65"/>
  <c r="AY250" i="65"/>
  <c r="AU250" i="65"/>
  <c r="AU12" i="65" s="1"/>
  <c r="AQ250" i="65"/>
  <c r="AM250" i="65"/>
  <c r="AL237" i="65"/>
  <c r="AP237" i="65"/>
  <c r="AT237" i="65"/>
  <c r="AX237" i="65"/>
  <c r="AL241" i="65"/>
  <c r="AP241" i="65"/>
  <c r="AT241" i="65"/>
  <c r="AX241" i="65"/>
  <c r="AO246" i="65"/>
  <c r="AS246" i="65"/>
  <c r="AW246" i="65"/>
  <c r="BE246" i="65"/>
  <c r="BD233" i="65"/>
  <c r="AV233" i="65"/>
  <c r="AR233" i="65"/>
  <c r="AN233" i="65"/>
  <c r="BE229" i="65"/>
  <c r="AW229" i="65"/>
  <c r="AS229" i="65"/>
  <c r="AO229" i="65"/>
  <c r="AY272" i="65"/>
  <c r="AU272" i="65"/>
  <c r="AQ272" i="65"/>
  <c r="AM272" i="65"/>
  <c r="AL268" i="65"/>
  <c r="AP268" i="65"/>
  <c r="AT268" i="65"/>
  <c r="AX268" i="65"/>
  <c r="AL264" i="65"/>
  <c r="AP264" i="65"/>
  <c r="AT264" i="65"/>
  <c r="AX264" i="65"/>
  <c r="AL260" i="65"/>
  <c r="AP260" i="65"/>
  <c r="AT260" i="65"/>
  <c r="AX260" i="65"/>
  <c r="AX254" i="65"/>
  <c r="AT254" i="65"/>
  <c r="AP254" i="65"/>
  <c r="AL254" i="65"/>
  <c r="AX250" i="65"/>
  <c r="AT250" i="65"/>
  <c r="AP250" i="65"/>
  <c r="AL250" i="65"/>
  <c r="AM237" i="65"/>
  <c r="AQ237" i="65"/>
  <c r="AU237" i="65"/>
  <c r="AY237" i="65"/>
  <c r="AM241" i="65"/>
  <c r="AQ241" i="65"/>
  <c r="AU241" i="65"/>
  <c r="AY241" i="65"/>
  <c r="AL246" i="65"/>
  <c r="AP246" i="65"/>
  <c r="AT246" i="65"/>
  <c r="AX246" i="65"/>
  <c r="AY233" i="65"/>
  <c r="AU233" i="65"/>
  <c r="AQ233" i="65"/>
  <c r="AM233" i="65"/>
  <c r="BD229" i="65"/>
  <c r="AV229" i="65"/>
  <c r="AR229" i="65"/>
  <c r="AN229" i="65"/>
  <c r="BE272" i="65"/>
  <c r="AX272" i="65"/>
  <c r="AT272" i="65"/>
  <c r="AP272" i="65"/>
  <c r="AL272" i="65"/>
  <c r="AM268" i="65"/>
  <c r="AQ268" i="65"/>
  <c r="AU268" i="65"/>
  <c r="AY268" i="65"/>
  <c r="BD268" i="65"/>
  <c r="AM264" i="65"/>
  <c r="AQ264" i="65"/>
  <c r="AU264" i="65"/>
  <c r="AY264" i="65"/>
  <c r="BD264" i="65"/>
  <c r="AM260" i="65"/>
  <c r="AQ260" i="65"/>
  <c r="AU260" i="65"/>
  <c r="AY260" i="65"/>
  <c r="BD260" i="65"/>
  <c r="BE254" i="65"/>
  <c r="AW254" i="65"/>
  <c r="AS254" i="65"/>
  <c r="BE250" i="65"/>
  <c r="AW250" i="65"/>
  <c r="AS250" i="65"/>
  <c r="AN237" i="65"/>
  <c r="AR237" i="65"/>
  <c r="AV237" i="65"/>
  <c r="AN241" i="65"/>
  <c r="AR241" i="65"/>
  <c r="AV241" i="65"/>
  <c r="AM246" i="65"/>
  <c r="AQ246" i="65"/>
  <c r="AU246" i="65"/>
  <c r="AX233" i="65"/>
  <c r="AT233" i="65"/>
  <c r="AP233" i="65"/>
  <c r="AY229" i="65"/>
  <c r="AU229" i="65"/>
  <c r="AQ229" i="65"/>
  <c r="BD272" i="65"/>
  <c r="AW272" i="65"/>
  <c r="AS272" i="65"/>
  <c r="AN268" i="65"/>
  <c r="AR268" i="65"/>
  <c r="AV268" i="65"/>
  <c r="AZ268" i="65"/>
  <c r="BE268" i="65"/>
  <c r="AN264" i="65"/>
  <c r="AR264" i="65"/>
  <c r="AV264" i="65"/>
  <c r="AZ264" i="65"/>
  <c r="BE264" i="65"/>
  <c r="AN260" i="65"/>
  <c r="AR260" i="65"/>
  <c r="AV260" i="65"/>
  <c r="AZ260" i="65"/>
  <c r="BE260" i="65"/>
  <c r="AB235" i="65"/>
  <c r="AZ194" i="65"/>
  <c r="AZ275" i="65"/>
  <c r="BF274" i="65"/>
  <c r="AB274" i="65"/>
  <c r="T274" i="65"/>
  <c r="V272" i="65"/>
  <c r="N272" i="65"/>
  <c r="AB258" i="65"/>
  <c r="AZ254" i="65"/>
  <c r="V221" i="65"/>
  <c r="AZ206" i="65"/>
  <c r="V275" i="65"/>
  <c r="N275" i="65"/>
  <c r="AZ274" i="65"/>
  <c r="BF273" i="65"/>
  <c r="AB273" i="65"/>
  <c r="T273" i="65"/>
  <c r="AB275" i="65"/>
  <c r="V237" i="65"/>
  <c r="AZ219" i="65"/>
  <c r="AB206" i="65"/>
  <c r="V274" i="65"/>
  <c r="N274" i="65"/>
  <c r="AZ273" i="65"/>
  <c r="BF272" i="65"/>
  <c r="AB272" i="65"/>
  <c r="T272" i="65"/>
  <c r="BF193" i="65"/>
  <c r="T204" i="65"/>
  <c r="V236" i="65"/>
  <c r="AZ242" i="65"/>
  <c r="N191" i="65"/>
  <c r="V191" i="65"/>
  <c r="N192" i="65"/>
  <c r="V192" i="65"/>
  <c r="N193" i="65"/>
  <c r="V193" i="65"/>
  <c r="AB194" i="65"/>
  <c r="N195" i="65"/>
  <c r="BF196" i="65"/>
  <c r="AB197" i="65"/>
  <c r="AZ218" i="65"/>
  <c r="BF219" i="65"/>
  <c r="AB220" i="65"/>
  <c r="N221" i="65"/>
  <c r="AB221" i="65"/>
  <c r="AB198" i="65"/>
  <c r="N200" i="65"/>
  <c r="N204" i="65"/>
  <c r="T237" i="65"/>
  <c r="T212" i="65"/>
  <c r="T209" i="65"/>
  <c r="T207" i="65"/>
  <c r="T174" i="65"/>
  <c r="T217" i="65"/>
  <c r="T216" i="65"/>
  <c r="T215" i="65"/>
  <c r="T211" i="65"/>
  <c r="T214" i="65"/>
  <c r="T222" i="65"/>
  <c r="T213" i="65"/>
  <c r="T208" i="65"/>
  <c r="T206" i="65"/>
  <c r="T200" i="65"/>
  <c r="T210" i="65"/>
  <c r="T201" i="65"/>
  <c r="T198" i="65"/>
  <c r="T218" i="65"/>
  <c r="T196" i="65"/>
  <c r="BF228" i="65"/>
  <c r="BF217" i="65"/>
  <c r="BF212" i="65"/>
  <c r="BF211" i="65"/>
  <c r="BF208" i="65"/>
  <c r="BF206" i="65"/>
  <c r="BF214" i="65"/>
  <c r="BF210" i="65"/>
  <c r="BF207" i="65"/>
  <c r="BF205" i="65"/>
  <c r="BF200" i="65"/>
  <c r="BF201" i="65"/>
  <c r="BF213" i="65"/>
  <c r="BF202" i="65"/>
  <c r="BF199" i="65"/>
  <c r="BF198" i="65"/>
  <c r="BF218" i="65"/>
  <c r="BF195" i="65"/>
  <c r="BF197" i="65"/>
  <c r="T219" i="65"/>
  <c r="V175" i="65"/>
  <c r="V214" i="65"/>
  <c r="V210" i="65"/>
  <c r="V208" i="65"/>
  <c r="V222" i="65"/>
  <c r="V213" i="65"/>
  <c r="V223" i="65"/>
  <c r="V212" i="65"/>
  <c r="V174" i="65"/>
  <c r="V216" i="65"/>
  <c r="V207" i="65"/>
  <c r="V202" i="65"/>
  <c r="V198" i="65"/>
  <c r="V217" i="65"/>
  <c r="V215" i="65"/>
  <c r="V209" i="65"/>
  <c r="V205" i="65"/>
  <c r="V204" i="65"/>
  <c r="V203" i="65"/>
  <c r="V199" i="65"/>
  <c r="V211" i="65"/>
  <c r="V200" i="65"/>
  <c r="V220" i="65"/>
  <c r="V197" i="65"/>
  <c r="AB245" i="65"/>
  <c r="AB223" i="65"/>
  <c r="AB212" i="65"/>
  <c r="AB209" i="65"/>
  <c r="AB207" i="65"/>
  <c r="AB174" i="65"/>
  <c r="AB217" i="65"/>
  <c r="AB216" i="65"/>
  <c r="AB215" i="65"/>
  <c r="AB211" i="65"/>
  <c r="AB175" i="65"/>
  <c r="AB214" i="65"/>
  <c r="AB222" i="65"/>
  <c r="AB213" i="65"/>
  <c r="AB210" i="65"/>
  <c r="AB200" i="65"/>
  <c r="AB202" i="65"/>
  <c r="AB208" i="65"/>
  <c r="AB218" i="65"/>
  <c r="AB196" i="65"/>
  <c r="V235" i="65"/>
  <c r="AB237" i="65"/>
  <c r="V228" i="65"/>
  <c r="AZ193" i="65"/>
  <c r="BF194" i="65"/>
  <c r="AZ195" i="65"/>
  <c r="V196" i="65"/>
  <c r="N218" i="65"/>
  <c r="V219" i="65"/>
  <c r="T221" i="65"/>
  <c r="T199" i="65"/>
  <c r="AB201" i="65"/>
  <c r="T203" i="65"/>
  <c r="T205" i="65"/>
  <c r="N206" i="65"/>
  <c r="V206" i="65"/>
  <c r="N211" i="65"/>
  <c r="N237" i="65"/>
  <c r="N222" i="65"/>
  <c r="N214" i="65"/>
  <c r="N210" i="65"/>
  <c r="N208" i="65"/>
  <c r="N223" i="65"/>
  <c r="N213" i="65"/>
  <c r="N174" i="65"/>
  <c r="N212" i="65"/>
  <c r="N216" i="65"/>
  <c r="N202" i="65"/>
  <c r="N198" i="65"/>
  <c r="N209" i="65"/>
  <c r="N207" i="65"/>
  <c r="N220" i="65"/>
  <c r="N197" i="65"/>
  <c r="AZ250" i="65"/>
  <c r="AZ213" i="65"/>
  <c r="AZ210" i="65"/>
  <c r="AZ209" i="65"/>
  <c r="AZ207" i="65"/>
  <c r="AZ217" i="65"/>
  <c r="AZ212" i="65"/>
  <c r="AZ201" i="65"/>
  <c r="AZ198" i="65"/>
  <c r="AZ221" i="65"/>
  <c r="AZ214" i="65"/>
  <c r="AZ211" i="65"/>
  <c r="AZ208" i="65"/>
  <c r="AZ200" i="65"/>
  <c r="AZ205" i="65"/>
  <c r="AZ220" i="65"/>
  <c r="AB236" i="65"/>
  <c r="T191" i="65"/>
  <c r="AB191" i="65"/>
  <c r="T192" i="65"/>
  <c r="AB192" i="65"/>
  <c r="T193" i="65"/>
  <c r="AB193" i="65"/>
  <c r="N194" i="65"/>
  <c r="V194" i="65"/>
  <c r="T195" i="65"/>
  <c r="AB195" i="65"/>
  <c r="N196" i="65"/>
  <c r="T197" i="65"/>
  <c r="AZ197" i="65"/>
  <c r="N219" i="65"/>
  <c r="AB219" i="65"/>
  <c r="T220" i="65"/>
  <c r="BF220" i="65"/>
  <c r="BF221" i="65"/>
  <c r="N199" i="65"/>
  <c r="AB199" i="65"/>
  <c r="N201" i="65"/>
  <c r="V201" i="65"/>
  <c r="T202" i="65"/>
  <c r="N203" i="65"/>
  <c r="AB203" i="65"/>
  <c r="N205" i="65"/>
  <c r="AB205" i="65"/>
  <c r="N175" i="65"/>
  <c r="BF247" i="65"/>
  <c r="N233" i="65"/>
  <c r="T229" i="65"/>
  <c r="V154" i="65"/>
  <c r="V226" i="65"/>
  <c r="V231" i="65"/>
  <c r="V247" i="65"/>
  <c r="V224" i="65"/>
  <c r="V225" i="65"/>
  <c r="V227" i="65"/>
  <c r="V229" i="65"/>
  <c r="V232" i="65"/>
  <c r="V233" i="65"/>
  <c r="V234" i="65"/>
  <c r="V246" i="65"/>
  <c r="V245" i="65"/>
  <c r="V241" i="65"/>
  <c r="V239" i="65"/>
  <c r="V230" i="65"/>
  <c r="V243" i="65"/>
  <c r="T239" i="65"/>
  <c r="AB239" i="65"/>
  <c r="T241" i="65"/>
  <c r="AB241" i="65"/>
  <c r="T245" i="65"/>
  <c r="AZ247" i="65"/>
  <c r="N234" i="65"/>
  <c r="BF225" i="65"/>
  <c r="BF227" i="65"/>
  <c r="BF229" i="65"/>
  <c r="BF233" i="65"/>
  <c r="BF230" i="65"/>
  <c r="BF234" i="65"/>
  <c r="BF243" i="65"/>
  <c r="BF240" i="65"/>
  <c r="BF238" i="65"/>
  <c r="BF226" i="65"/>
  <c r="BF231" i="65"/>
  <c r="BF242" i="65"/>
  <c r="BF232" i="65"/>
  <c r="BF246" i="65"/>
  <c r="BF241" i="65"/>
  <c r="BF239" i="65"/>
  <c r="BF237" i="65"/>
  <c r="AB167" i="65"/>
  <c r="AB224" i="65"/>
  <c r="AB225" i="65"/>
  <c r="AB233" i="65"/>
  <c r="AB226" i="65"/>
  <c r="AB228" i="65"/>
  <c r="AB230" i="65"/>
  <c r="AB234" i="65"/>
  <c r="AB229" i="65"/>
  <c r="AB247" i="65"/>
  <c r="AB243" i="65"/>
  <c r="AB227" i="65"/>
  <c r="AB231" i="65"/>
  <c r="AB242" i="65"/>
  <c r="AB240" i="65"/>
  <c r="AB238" i="65"/>
  <c r="AB232" i="65"/>
  <c r="AB246" i="65"/>
  <c r="N235" i="65"/>
  <c r="T235" i="65"/>
  <c r="N236" i="65"/>
  <c r="T236" i="65"/>
  <c r="T224" i="65"/>
  <c r="T225" i="65"/>
  <c r="T233" i="65"/>
  <c r="T226" i="65"/>
  <c r="T228" i="65"/>
  <c r="T230" i="65"/>
  <c r="T234" i="65"/>
  <c r="T227" i="65"/>
  <c r="T231" i="65"/>
  <c r="T243" i="65"/>
  <c r="T232" i="65"/>
  <c r="T247" i="65"/>
  <c r="T242" i="65"/>
  <c r="T240" i="65"/>
  <c r="T238" i="65"/>
  <c r="T246" i="65"/>
  <c r="N159" i="65"/>
  <c r="N226" i="65"/>
  <c r="N231" i="65"/>
  <c r="N247" i="65"/>
  <c r="N224" i="65"/>
  <c r="N225" i="65"/>
  <c r="N227" i="65"/>
  <c r="N229" i="65"/>
  <c r="N232" i="65"/>
  <c r="N246" i="65"/>
  <c r="N230" i="65"/>
  <c r="N245" i="65"/>
  <c r="N241" i="65"/>
  <c r="N239" i="65"/>
  <c r="N228" i="65"/>
  <c r="N243" i="65"/>
  <c r="AZ255" i="65"/>
  <c r="AZ226" i="65"/>
  <c r="AZ228" i="65"/>
  <c r="AZ231" i="65"/>
  <c r="AZ234" i="65"/>
  <c r="AZ232" i="65"/>
  <c r="AZ225" i="65"/>
  <c r="AZ233" i="65"/>
  <c r="AZ241" i="65"/>
  <c r="AZ239" i="65"/>
  <c r="AZ237" i="65"/>
  <c r="AZ229" i="65"/>
  <c r="AZ230" i="65"/>
  <c r="AZ245" i="65"/>
  <c r="AZ227" i="65"/>
  <c r="AZ243" i="65"/>
  <c r="AZ240" i="65"/>
  <c r="AZ238" i="65"/>
  <c r="AZ252" i="65"/>
  <c r="N238" i="65"/>
  <c r="V238" i="65"/>
  <c r="N240" i="65"/>
  <c r="V240" i="65"/>
  <c r="N242" i="65"/>
  <c r="V242" i="65"/>
  <c r="BF245" i="65"/>
  <c r="AZ246" i="65"/>
  <c r="T182" i="65"/>
  <c r="T248" i="65"/>
  <c r="T249" i="65"/>
  <c r="T250" i="65"/>
  <c r="T252" i="65"/>
  <c r="T254" i="65"/>
  <c r="T259" i="65"/>
  <c r="T251" i="65"/>
  <c r="T253" i="65"/>
  <c r="T255" i="65"/>
  <c r="BF259" i="65"/>
  <c r="BF250" i="65"/>
  <c r="BF252" i="65"/>
  <c r="BF254" i="65"/>
  <c r="BF255" i="65"/>
  <c r="T258" i="65"/>
  <c r="BF258" i="65"/>
  <c r="BF253" i="65"/>
  <c r="BF251" i="65"/>
  <c r="AZ259" i="65"/>
  <c r="V259" i="65"/>
  <c r="N259" i="65"/>
  <c r="AB255" i="65"/>
  <c r="V254" i="65"/>
  <c r="N254" i="65"/>
  <c r="AB253" i="65"/>
  <c r="V252" i="65"/>
  <c r="N252" i="65"/>
  <c r="AB251" i="65"/>
  <c r="V250" i="65"/>
  <c r="N250" i="65"/>
  <c r="V249" i="65"/>
  <c r="N249" i="65"/>
  <c r="V248" i="65"/>
  <c r="N248" i="65"/>
  <c r="AZ258" i="65"/>
  <c r="V258" i="65"/>
  <c r="N258" i="65"/>
  <c r="AZ253" i="65"/>
  <c r="AZ251" i="65"/>
  <c r="AB259" i="65"/>
  <c r="V255" i="65"/>
  <c r="N255" i="65"/>
  <c r="AB254" i="65"/>
  <c r="V253" i="65"/>
  <c r="N253" i="65"/>
  <c r="AB252" i="65"/>
  <c r="V251" i="65"/>
  <c r="N251" i="65"/>
  <c r="AB250" i="65"/>
  <c r="AB249" i="65"/>
  <c r="AB248" i="65"/>
  <c r="N157" i="65"/>
  <c r="AB157" i="65"/>
  <c r="V158" i="65"/>
  <c r="N153" i="65"/>
  <c r="AB153" i="65"/>
  <c r="AB171" i="65"/>
  <c r="T152" i="65"/>
  <c r="T156" i="65"/>
  <c r="T160" i="65"/>
  <c r="T161" i="65"/>
  <c r="T165" i="65"/>
  <c r="T184" i="65"/>
  <c r="V185" i="65"/>
  <c r="V184" i="65"/>
  <c r="V183" i="65"/>
  <c r="V182" i="65"/>
  <c r="V181" i="65"/>
  <c r="V180" i="65"/>
  <c r="V179" i="65"/>
  <c r="V178" i="65"/>
  <c r="V177" i="65"/>
  <c r="V176" i="65"/>
  <c r="V173" i="65"/>
  <c r="V172" i="65"/>
  <c r="V171" i="65"/>
  <c r="V170" i="65"/>
  <c r="V169" i="65"/>
  <c r="V168" i="65"/>
  <c r="V167" i="65"/>
  <c r="V166" i="65"/>
  <c r="V165" i="65"/>
  <c r="V164" i="65"/>
  <c r="V163" i="65"/>
  <c r="V162" i="65"/>
  <c r="V161" i="65"/>
  <c r="V160" i="65"/>
  <c r="T153" i="65"/>
  <c r="N154" i="65"/>
  <c r="AB154" i="65"/>
  <c r="V155" i="65"/>
  <c r="T157" i="65"/>
  <c r="N158" i="65"/>
  <c r="AB158" i="65"/>
  <c r="V159" i="65"/>
  <c r="AB159" i="65"/>
  <c r="AB160" i="65"/>
  <c r="AB161" i="65"/>
  <c r="AB162" i="65"/>
  <c r="AB163" i="65"/>
  <c r="AB164" i="65"/>
  <c r="AB165" i="65"/>
  <c r="AB166" i="65"/>
  <c r="T179" i="65"/>
  <c r="T181" i="65"/>
  <c r="T185" i="65"/>
  <c r="T162" i="65"/>
  <c r="T163" i="65"/>
  <c r="T164" i="65"/>
  <c r="T166" i="65"/>
  <c r="AB178" i="65"/>
  <c r="AB172" i="65"/>
  <c r="AB168" i="65"/>
  <c r="AB179" i="65"/>
  <c r="AB173" i="65"/>
  <c r="AB169" i="65"/>
  <c r="AB185" i="65"/>
  <c r="AB184" i="65"/>
  <c r="AB183" i="65"/>
  <c r="AB182" i="65"/>
  <c r="AB181" i="65"/>
  <c r="AB180" i="65"/>
  <c r="AB176" i="65"/>
  <c r="AB170" i="65"/>
  <c r="V152" i="65"/>
  <c r="AA151" i="65"/>
  <c r="T154" i="65"/>
  <c r="N155" i="65"/>
  <c r="AB155" i="65"/>
  <c r="V156" i="65"/>
  <c r="T158" i="65"/>
  <c r="T173" i="65"/>
  <c r="T180" i="65"/>
  <c r="T176" i="65"/>
  <c r="T170" i="65"/>
  <c r="T177" i="65"/>
  <c r="T171" i="65"/>
  <c r="T167" i="65"/>
  <c r="T178" i="65"/>
  <c r="T172" i="65"/>
  <c r="T168" i="65"/>
  <c r="N185" i="65"/>
  <c r="N184" i="65"/>
  <c r="N183" i="65"/>
  <c r="N182" i="65"/>
  <c r="N181" i="65"/>
  <c r="N180" i="65"/>
  <c r="N179" i="65"/>
  <c r="N178" i="65"/>
  <c r="N177" i="65"/>
  <c r="N176" i="65"/>
  <c r="N173" i="65"/>
  <c r="N172" i="65"/>
  <c r="N171" i="65"/>
  <c r="N170" i="65"/>
  <c r="N169" i="65"/>
  <c r="N168" i="65"/>
  <c r="N167" i="65"/>
  <c r="N166" i="65"/>
  <c r="N165" i="65"/>
  <c r="N164" i="65"/>
  <c r="N163" i="65"/>
  <c r="N162" i="65"/>
  <c r="N161" i="65"/>
  <c r="N160" i="65"/>
  <c r="N152" i="65"/>
  <c r="AB152" i="65"/>
  <c r="V153" i="65"/>
  <c r="T155" i="65"/>
  <c r="N156" i="65"/>
  <c r="AB156" i="65"/>
  <c r="V157" i="65"/>
  <c r="T159" i="65"/>
  <c r="T169" i="65"/>
  <c r="AB177" i="65"/>
  <c r="T183" i="65"/>
  <c r="M151" i="65"/>
  <c r="U151" i="65"/>
  <c r="S151" i="65"/>
  <c r="T102" i="65"/>
  <c r="AB150" i="65"/>
  <c r="AB149" i="65"/>
  <c r="AB148" i="65"/>
  <c r="AB147" i="65"/>
  <c r="AB146" i="65"/>
  <c r="AB145" i="65"/>
  <c r="AB144" i="65"/>
  <c r="AB143" i="65"/>
  <c r="AB142" i="65"/>
  <c r="AB141" i="65"/>
  <c r="AB140" i="65"/>
  <c r="AB137" i="65"/>
  <c r="AB138" i="65"/>
  <c r="AB131" i="65"/>
  <c r="AB127" i="65"/>
  <c r="AB123" i="65"/>
  <c r="AB118" i="65"/>
  <c r="AB114" i="65"/>
  <c r="AB132" i="65"/>
  <c r="AB128" i="65"/>
  <c r="AB124" i="65"/>
  <c r="AB119" i="65"/>
  <c r="AB115" i="65"/>
  <c r="AB139" i="65"/>
  <c r="AB133" i="65"/>
  <c r="AB125" i="65"/>
  <c r="AB116" i="65"/>
  <c r="AB112" i="65"/>
  <c r="AB111" i="65"/>
  <c r="AB110" i="65"/>
  <c r="AB136" i="65"/>
  <c r="AB130" i="65"/>
  <c r="AB122" i="65"/>
  <c r="AB113" i="65"/>
  <c r="AB109" i="65"/>
  <c r="AB108" i="65"/>
  <c r="AB107" i="65"/>
  <c r="AB106" i="65"/>
  <c r="AB105" i="65"/>
  <c r="AB104" i="65"/>
  <c r="AB103" i="65"/>
  <c r="AB135" i="65"/>
  <c r="AB129" i="65"/>
  <c r="AB120" i="65"/>
  <c r="AB134" i="65"/>
  <c r="AB126" i="65"/>
  <c r="AB117" i="65"/>
  <c r="N63" i="65"/>
  <c r="N150" i="65"/>
  <c r="N149" i="65"/>
  <c r="N148" i="65"/>
  <c r="N147" i="65"/>
  <c r="N146" i="65"/>
  <c r="N145" i="65"/>
  <c r="N144" i="65"/>
  <c r="N143" i="65"/>
  <c r="N142" i="65"/>
  <c r="N141" i="65"/>
  <c r="N140" i="65"/>
  <c r="N139" i="65"/>
  <c r="N136" i="65"/>
  <c r="N135" i="65"/>
  <c r="N134" i="65"/>
  <c r="N133" i="65"/>
  <c r="N132" i="65"/>
  <c r="N131" i="65"/>
  <c r="N130" i="65"/>
  <c r="N129" i="65"/>
  <c r="N128" i="65"/>
  <c r="N127" i="65"/>
  <c r="N126" i="65"/>
  <c r="N125" i="65"/>
  <c r="N124" i="65"/>
  <c r="N123" i="65"/>
  <c r="N122" i="65"/>
  <c r="N120" i="65"/>
  <c r="N119" i="65"/>
  <c r="N118" i="65"/>
  <c r="N117" i="65"/>
  <c r="N116" i="65"/>
  <c r="N115" i="65"/>
  <c r="N114" i="65"/>
  <c r="N113" i="65"/>
  <c r="N138" i="65"/>
  <c r="N112" i="65"/>
  <c r="N111" i="65"/>
  <c r="N137" i="65"/>
  <c r="N109" i="65"/>
  <c r="N108" i="65"/>
  <c r="N107" i="65"/>
  <c r="N106" i="65"/>
  <c r="N105" i="65"/>
  <c r="N104" i="65"/>
  <c r="N103" i="65"/>
  <c r="N102" i="65"/>
  <c r="N101" i="65"/>
  <c r="N100" i="65"/>
  <c r="N99" i="65"/>
  <c r="T99" i="65"/>
  <c r="T100" i="65"/>
  <c r="T101" i="65"/>
  <c r="AB99" i="65"/>
  <c r="AB100" i="65"/>
  <c r="AB101" i="65"/>
  <c r="AB102" i="65"/>
  <c r="N110" i="65"/>
  <c r="T150" i="65"/>
  <c r="T149" i="65"/>
  <c r="T148" i="65"/>
  <c r="T147" i="65"/>
  <c r="T146" i="65"/>
  <c r="T145" i="65"/>
  <c r="T144" i="65"/>
  <c r="T143" i="65"/>
  <c r="T142" i="65"/>
  <c r="T141" i="65"/>
  <c r="T140" i="65"/>
  <c r="T137" i="65"/>
  <c r="T139" i="65"/>
  <c r="T136" i="65"/>
  <c r="T135" i="65"/>
  <c r="T134" i="65"/>
  <c r="T133" i="65"/>
  <c r="T129" i="65"/>
  <c r="T125" i="65"/>
  <c r="T120" i="65"/>
  <c r="T116" i="65"/>
  <c r="T111" i="65"/>
  <c r="T130" i="65"/>
  <c r="T126" i="65"/>
  <c r="T122" i="65"/>
  <c r="T117" i="65"/>
  <c r="T113" i="65"/>
  <c r="T131" i="65"/>
  <c r="T123" i="65"/>
  <c r="T114" i="65"/>
  <c r="T132" i="65"/>
  <c r="T124" i="65"/>
  <c r="T115" i="65"/>
  <c r="T109" i="65"/>
  <c r="T108" i="65"/>
  <c r="T107" i="65"/>
  <c r="T106" i="65"/>
  <c r="T105" i="65"/>
  <c r="T104" i="65"/>
  <c r="T103" i="65"/>
  <c r="T127" i="65"/>
  <c r="T118" i="65"/>
  <c r="T128" i="65"/>
  <c r="T119" i="65"/>
  <c r="T110" i="65"/>
  <c r="V150" i="65"/>
  <c r="V149" i="65"/>
  <c r="V148" i="65"/>
  <c r="V147" i="65"/>
  <c r="V146" i="65"/>
  <c r="V145" i="65"/>
  <c r="V144" i="65"/>
  <c r="V143" i="65"/>
  <c r="V142" i="65"/>
  <c r="V141" i="65"/>
  <c r="V140" i="65"/>
  <c r="V138" i="65"/>
  <c r="V139" i="65"/>
  <c r="V136" i="65"/>
  <c r="V135" i="65"/>
  <c r="V134" i="65"/>
  <c r="V133" i="65"/>
  <c r="V132" i="65"/>
  <c r="V131" i="65"/>
  <c r="V130" i="65"/>
  <c r="V129" i="65"/>
  <c r="V128" i="65"/>
  <c r="V127" i="65"/>
  <c r="V126" i="65"/>
  <c r="V125" i="65"/>
  <c r="V124" i="65"/>
  <c r="V123" i="65"/>
  <c r="V122" i="65"/>
  <c r="V120" i="65"/>
  <c r="V119" i="65"/>
  <c r="V118" i="65"/>
  <c r="V117" i="65"/>
  <c r="V116" i="65"/>
  <c r="V115" i="65"/>
  <c r="V114" i="65"/>
  <c r="V113" i="65"/>
  <c r="V112" i="65"/>
  <c r="V137" i="65"/>
  <c r="V111" i="65"/>
  <c r="V110" i="65"/>
  <c r="V109" i="65"/>
  <c r="V108" i="65"/>
  <c r="V107" i="65"/>
  <c r="V106" i="65"/>
  <c r="V105" i="65"/>
  <c r="V104" i="65"/>
  <c r="V103" i="65"/>
  <c r="V102" i="65"/>
  <c r="V101" i="65"/>
  <c r="V100" i="65"/>
  <c r="V99" i="65"/>
  <c r="S121" i="65"/>
  <c r="AA121" i="65"/>
  <c r="M121" i="65"/>
  <c r="U121" i="65"/>
  <c r="M96" i="65"/>
  <c r="T95" i="65"/>
  <c r="T91" i="65"/>
  <c r="T87" i="65"/>
  <c r="T83" i="65"/>
  <c r="T79" i="65"/>
  <c r="N76" i="65"/>
  <c r="N68" i="65"/>
  <c r="T59" i="65"/>
  <c r="T51" i="65"/>
  <c r="T94" i="65"/>
  <c r="T90" i="65"/>
  <c r="T86" i="65"/>
  <c r="T82" i="65"/>
  <c r="T78" i="65"/>
  <c r="N75" i="65"/>
  <c r="N67" i="65"/>
  <c r="T57" i="65"/>
  <c r="T49" i="65"/>
  <c r="T98" i="65"/>
  <c r="T93" i="65"/>
  <c r="T89" i="65"/>
  <c r="T85" i="65"/>
  <c r="T81" i="65"/>
  <c r="T77" i="65"/>
  <c r="N72" i="65"/>
  <c r="N64" i="65"/>
  <c r="T55" i="65"/>
  <c r="T47" i="65"/>
  <c r="T92" i="65"/>
  <c r="T88" i="65"/>
  <c r="T84" i="65"/>
  <c r="T80" i="65"/>
  <c r="N71" i="65"/>
  <c r="T61" i="65"/>
  <c r="T53" i="65"/>
  <c r="T46" i="65"/>
  <c r="V27" i="65"/>
  <c r="V98" i="65"/>
  <c r="V46" i="65"/>
  <c r="V47" i="65"/>
  <c r="V48" i="65"/>
  <c r="V49" i="65"/>
  <c r="V50" i="65"/>
  <c r="V51" i="65"/>
  <c r="V52" i="65"/>
  <c r="V53" i="65"/>
  <c r="V54" i="65"/>
  <c r="V55" i="65"/>
  <c r="V56" i="65"/>
  <c r="V57" i="65"/>
  <c r="V58" i="65"/>
  <c r="V59" i="65"/>
  <c r="V60" i="65"/>
  <c r="V61" i="65"/>
  <c r="V190" i="65"/>
  <c r="V189" i="65"/>
  <c r="V188" i="65"/>
  <c r="V187" i="65"/>
  <c r="V97" i="65"/>
  <c r="V64" i="65"/>
  <c r="V68" i="65"/>
  <c r="V72" i="65"/>
  <c r="V76" i="65"/>
  <c r="V77" i="65"/>
  <c r="V78" i="65"/>
  <c r="V79" i="65"/>
  <c r="V80" i="65"/>
  <c r="V81" i="65"/>
  <c r="V82" i="65"/>
  <c r="V83" i="65"/>
  <c r="V84" i="65"/>
  <c r="V85" i="65"/>
  <c r="V86" i="65"/>
  <c r="V87" i="65"/>
  <c r="V88" i="65"/>
  <c r="V89" i="65"/>
  <c r="V90" i="65"/>
  <c r="V91" i="65"/>
  <c r="V92" i="65"/>
  <c r="V93" i="65"/>
  <c r="V94" i="65"/>
  <c r="V95" i="65"/>
  <c r="V65" i="65"/>
  <c r="V69" i="65"/>
  <c r="V73" i="65"/>
  <c r="V63" i="65"/>
  <c r="V67" i="65"/>
  <c r="V71" i="65"/>
  <c r="V75" i="65"/>
  <c r="V62" i="65"/>
  <c r="V66" i="65"/>
  <c r="V70" i="65"/>
  <c r="V74" i="65"/>
  <c r="AB190" i="65"/>
  <c r="AB189" i="65"/>
  <c r="AB188" i="65"/>
  <c r="AB187" i="65"/>
  <c r="AB97" i="65"/>
  <c r="AB98" i="65"/>
  <c r="AB46" i="65"/>
  <c r="AB47" i="65"/>
  <c r="AB48" i="65"/>
  <c r="AB49" i="65"/>
  <c r="AB50" i="65"/>
  <c r="AB51" i="65"/>
  <c r="AB52" i="65"/>
  <c r="AB53" i="65"/>
  <c r="AB54" i="65"/>
  <c r="AB55" i="65"/>
  <c r="AB56" i="65"/>
  <c r="AB57" i="65"/>
  <c r="AB58" i="65"/>
  <c r="AB59" i="65"/>
  <c r="AB60" i="65"/>
  <c r="AB61" i="65"/>
  <c r="AB62" i="65"/>
  <c r="AB63" i="65"/>
  <c r="AB64" i="65"/>
  <c r="AB65" i="65"/>
  <c r="AB66" i="65"/>
  <c r="AB67" i="65"/>
  <c r="AB68" i="65"/>
  <c r="AB69" i="65"/>
  <c r="AB70" i="65"/>
  <c r="AB71" i="65"/>
  <c r="AB72" i="65"/>
  <c r="AB73" i="65"/>
  <c r="AB74" i="65"/>
  <c r="AB75" i="65"/>
  <c r="AB76" i="65"/>
  <c r="AB93" i="65"/>
  <c r="AB91" i="65"/>
  <c r="AB89" i="65"/>
  <c r="AB87" i="65"/>
  <c r="AB84" i="65"/>
  <c r="AB81" i="65"/>
  <c r="AB80" i="65"/>
  <c r="AB79" i="65"/>
  <c r="N98" i="65"/>
  <c r="N46" i="65"/>
  <c r="N47" i="65"/>
  <c r="N48" i="65"/>
  <c r="N49" i="65"/>
  <c r="N50" i="65"/>
  <c r="N51" i="65"/>
  <c r="N52" i="65"/>
  <c r="N53" i="65"/>
  <c r="N54" i="65"/>
  <c r="N55" i="65"/>
  <c r="N56" i="65"/>
  <c r="N57" i="65"/>
  <c r="N58" i="65"/>
  <c r="N59" i="65"/>
  <c r="N60" i="65"/>
  <c r="N61" i="65"/>
  <c r="N62" i="65"/>
  <c r="N190" i="65"/>
  <c r="N189" i="65"/>
  <c r="N188" i="65"/>
  <c r="N187" i="65"/>
  <c r="N97" i="65"/>
  <c r="N77" i="65"/>
  <c r="N73" i="65"/>
  <c r="N69" i="65"/>
  <c r="N65" i="65"/>
  <c r="AB95" i="65"/>
  <c r="AB94" i="65"/>
  <c r="AB92" i="65"/>
  <c r="AB90" i="65"/>
  <c r="AB88" i="65"/>
  <c r="AB86" i="65"/>
  <c r="AB85" i="65"/>
  <c r="AB83" i="65"/>
  <c r="AB82" i="65"/>
  <c r="AB78" i="65"/>
  <c r="AB77" i="65"/>
  <c r="T190" i="65"/>
  <c r="T189" i="65"/>
  <c r="T188" i="65"/>
  <c r="T187" i="65"/>
  <c r="T97" i="65"/>
  <c r="T62" i="65"/>
  <c r="T63" i="65"/>
  <c r="T64" i="65"/>
  <c r="T65" i="65"/>
  <c r="T66" i="65"/>
  <c r="T67" i="65"/>
  <c r="T68" i="65"/>
  <c r="T69" i="65"/>
  <c r="T70" i="65"/>
  <c r="T71" i="65"/>
  <c r="T72" i="65"/>
  <c r="T73" i="65"/>
  <c r="T74" i="65"/>
  <c r="T75" i="65"/>
  <c r="T76" i="65"/>
  <c r="N95" i="65"/>
  <c r="N94" i="65"/>
  <c r="N93" i="65"/>
  <c r="N92" i="65"/>
  <c r="N91" i="65"/>
  <c r="N90" i="65"/>
  <c r="N89" i="65"/>
  <c r="N88" i="65"/>
  <c r="N87" i="65"/>
  <c r="N86" i="65"/>
  <c r="N85" i="65"/>
  <c r="N84" i="65"/>
  <c r="N83" i="65"/>
  <c r="N82" i="65"/>
  <c r="N81" i="65"/>
  <c r="N80" i="65"/>
  <c r="N79" i="65"/>
  <c r="N78" i="65"/>
  <c r="N74" i="65"/>
  <c r="N70" i="65"/>
  <c r="N66" i="65"/>
  <c r="T60" i="65"/>
  <c r="T58" i="65"/>
  <c r="T56" i="65"/>
  <c r="T54" i="65"/>
  <c r="T52" i="65"/>
  <c r="T50" i="65"/>
  <c r="T48" i="65"/>
  <c r="U96" i="65"/>
  <c r="AA96" i="65"/>
  <c r="S96" i="65"/>
  <c r="U13" i="65"/>
  <c r="M13" i="65"/>
  <c r="AA13" i="65"/>
  <c r="S13" i="65"/>
  <c r="N17" i="65"/>
  <c r="N39" i="65"/>
  <c r="AB16" i="65"/>
  <c r="AB18" i="65"/>
  <c r="AB22" i="65"/>
  <c r="AB26" i="65"/>
  <c r="AB30" i="65"/>
  <c r="AB34" i="65"/>
  <c r="AB38" i="65"/>
  <c r="AB42" i="65"/>
  <c r="AB17" i="65"/>
  <c r="AB21" i="65"/>
  <c r="AB25" i="65"/>
  <c r="AB29" i="65"/>
  <c r="AB33" i="65"/>
  <c r="AB37" i="65"/>
  <c r="AB41" i="65"/>
  <c r="AB45" i="65"/>
  <c r="AB20" i="65"/>
  <c r="AB24" i="65"/>
  <c r="AB28" i="65"/>
  <c r="AB32" i="65"/>
  <c r="AB36" i="65"/>
  <c r="AB40" i="65"/>
  <c r="AB44" i="65"/>
  <c r="AB19" i="65"/>
  <c r="AB23" i="65"/>
  <c r="AB27" i="65"/>
  <c r="AB31" i="65"/>
  <c r="AB35" i="65"/>
  <c r="AB39" i="65"/>
  <c r="AB43" i="65"/>
  <c r="N31" i="65"/>
  <c r="N21" i="65"/>
  <c r="N22" i="65"/>
  <c r="N27" i="65"/>
  <c r="V44" i="65"/>
  <c r="V41" i="65"/>
  <c r="V45" i="65"/>
  <c r="V38" i="65"/>
  <c r="V34" i="65"/>
  <c r="V32" i="65"/>
  <c r="V42" i="65"/>
  <c r="V37" i="65"/>
  <c r="V39" i="65"/>
  <c r="V30" i="65"/>
  <c r="V26" i="65"/>
  <c r="V21" i="65"/>
  <c r="V20" i="65"/>
  <c r="V18" i="65"/>
  <c r="V43" i="65"/>
  <c r="V40" i="65"/>
  <c r="V29" i="65"/>
  <c r="V25" i="65"/>
  <c r="V19" i="65"/>
  <c r="V16" i="65"/>
  <c r="V35" i="65"/>
  <c r="V33" i="65"/>
  <c r="V28" i="65"/>
  <c r="V24" i="65"/>
  <c r="V23" i="65"/>
  <c r="V22" i="65"/>
  <c r="V31" i="65"/>
  <c r="V36" i="65"/>
  <c r="V17" i="65"/>
  <c r="T25" i="65"/>
  <c r="T42" i="65"/>
  <c r="T43" i="65"/>
  <c r="T40" i="65"/>
  <c r="T36" i="65"/>
  <c r="T44" i="65"/>
  <c r="T39" i="65"/>
  <c r="T35" i="65"/>
  <c r="T33" i="65"/>
  <c r="T45" i="65"/>
  <c r="T28" i="65"/>
  <c r="T23" i="65"/>
  <c r="T37" i="65"/>
  <c r="T34" i="65"/>
  <c r="T31" i="65"/>
  <c r="T27" i="65"/>
  <c r="T22" i="65"/>
  <c r="T17" i="65"/>
  <c r="T32" i="65"/>
  <c r="T30" i="65"/>
  <c r="T26" i="65"/>
  <c r="T21" i="65"/>
  <c r="T20" i="65"/>
  <c r="T18" i="65"/>
  <c r="T41" i="65"/>
  <c r="T16" i="65"/>
  <c r="T24" i="65"/>
  <c r="T19" i="65"/>
  <c r="T29" i="65"/>
  <c r="T38" i="65"/>
  <c r="N23" i="65"/>
  <c r="N28" i="65"/>
  <c r="N36" i="65"/>
  <c r="N44" i="65"/>
  <c r="N41" i="65"/>
  <c r="N45" i="65"/>
  <c r="N38" i="65"/>
  <c r="N34" i="65"/>
  <c r="N32" i="65"/>
  <c r="N42" i="65"/>
  <c r="N37" i="65"/>
  <c r="N16" i="65"/>
  <c r="N19" i="65"/>
  <c r="N24" i="65"/>
  <c r="N25" i="65"/>
  <c r="N29" i="65"/>
  <c r="N33" i="65"/>
  <c r="N35" i="65"/>
  <c r="N18" i="65"/>
  <c r="N20" i="65"/>
  <c r="N26" i="65"/>
  <c r="N30" i="65"/>
  <c r="N40" i="65"/>
  <c r="N43" i="65"/>
  <c r="O10" i="65"/>
  <c r="BG10" i="65"/>
  <c r="BG256" i="65" s="1"/>
  <c r="AX12" i="65"/>
  <c r="BA10" i="65"/>
  <c r="BA261" i="65" s="1"/>
  <c r="AH12" i="65"/>
  <c r="AC10" i="65"/>
  <c r="AJ12" i="65"/>
  <c r="W10" i="65"/>
  <c r="AG12" i="65"/>
  <c r="AK12" i="65"/>
  <c r="AW12" i="65"/>
  <c r="AZ299" i="65"/>
  <c r="BF299" i="65"/>
  <c r="AT12" i="65"/>
  <c r="AI12" i="65"/>
  <c r="BK20" i="61"/>
  <c r="BL10" i="61"/>
  <c r="BM10" i="61" s="1"/>
  <c r="O256" i="65" l="1"/>
  <c r="O292" i="65"/>
  <c r="O291" i="65"/>
  <c r="O244" i="65"/>
  <c r="O257" i="65"/>
  <c r="BA257" i="65"/>
  <c r="AC292" i="65"/>
  <c r="AC256" i="65"/>
  <c r="AC291" i="65"/>
  <c r="AC257" i="65"/>
  <c r="AC244" i="65"/>
  <c r="BA256" i="65"/>
  <c r="BA292" i="65"/>
  <c r="BA244" i="65"/>
  <c r="BG292" i="65"/>
  <c r="V186" i="65"/>
  <c r="BA291" i="65"/>
  <c r="BG291" i="65"/>
  <c r="BG244" i="65"/>
  <c r="W256" i="65"/>
  <c r="W244" i="65"/>
  <c r="W292" i="65"/>
  <c r="W291" i="65"/>
  <c r="W257" i="65"/>
  <c r="BG265" i="65"/>
  <c r="BG257" i="65"/>
  <c r="N186" i="65"/>
  <c r="AB186" i="65"/>
  <c r="T186" i="65"/>
  <c r="BG260" i="65"/>
  <c r="BG268" i="65"/>
  <c r="AY12" i="65"/>
  <c r="BG293" i="65"/>
  <c r="BG289" i="65"/>
  <c r="BG269" i="65"/>
  <c r="BG296" i="65"/>
  <c r="BG297" i="65"/>
  <c r="BG290" i="65"/>
  <c r="BG294" i="65"/>
  <c r="BG286" i="65"/>
  <c r="BG263" i="65"/>
  <c r="BG298" i="65"/>
  <c r="BG280" i="65"/>
  <c r="BG262" i="65"/>
  <c r="BG279" i="65"/>
  <c r="BG278" i="65"/>
  <c r="BG271" i="65"/>
  <c r="BG282" i="65"/>
  <c r="BG266" i="65"/>
  <c r="BG284" i="65"/>
  <c r="BG270" i="65"/>
  <c r="BG283" i="65"/>
  <c r="BG267" i="65"/>
  <c r="BA296" i="65"/>
  <c r="BA298" i="65"/>
  <c r="BG281" i="65"/>
  <c r="BA277" i="65"/>
  <c r="BA265" i="65"/>
  <c r="BA295" i="65"/>
  <c r="O295" i="65"/>
  <c r="O287" i="65"/>
  <c r="O285" i="65"/>
  <c r="O296" i="65"/>
  <c r="O288" i="65"/>
  <c r="O297" i="65"/>
  <c r="O289" i="65"/>
  <c r="O298" i="65"/>
  <c r="O293" i="65"/>
  <c r="O286" i="65"/>
  <c r="O283" i="65"/>
  <c r="O279" i="65"/>
  <c r="O290" i="65"/>
  <c r="O284" i="65"/>
  <c r="O282" i="65"/>
  <c r="O280" i="65"/>
  <c r="O294" i="65"/>
  <c r="O278" i="65"/>
  <c r="O277" i="65"/>
  <c r="O276" i="65"/>
  <c r="O266" i="65"/>
  <c r="O264" i="65"/>
  <c r="O262" i="65"/>
  <c r="O271" i="65"/>
  <c r="O263" i="65"/>
  <c r="O260" i="65"/>
  <c r="O267" i="65"/>
  <c r="O281" i="65"/>
  <c r="O265" i="65"/>
  <c r="O269" i="65"/>
  <c r="O261" i="65"/>
  <c r="O270" i="65"/>
  <c r="O268" i="65"/>
  <c r="BG264" i="65"/>
  <c r="BA297" i="65"/>
  <c r="AO12" i="65"/>
  <c r="AV12" i="65"/>
  <c r="BA269" i="65"/>
  <c r="BG285" i="65"/>
  <c r="BA281" i="65"/>
  <c r="BG295" i="65"/>
  <c r="AC297" i="65"/>
  <c r="AC289" i="65"/>
  <c r="AC298" i="65"/>
  <c r="AC294" i="65"/>
  <c r="AC293" i="65"/>
  <c r="AC290" i="65"/>
  <c r="AC286" i="65"/>
  <c r="AC295" i="65"/>
  <c r="AC287" i="65"/>
  <c r="AC285" i="65"/>
  <c r="AC288" i="65"/>
  <c r="AC278" i="65"/>
  <c r="AC277" i="65"/>
  <c r="AC276" i="65"/>
  <c r="AC281" i="65"/>
  <c r="AC263" i="65"/>
  <c r="AC296" i="65"/>
  <c r="AC283" i="65"/>
  <c r="AC279" i="65"/>
  <c r="AC262" i="65"/>
  <c r="AC260" i="65"/>
  <c r="AC280" i="65"/>
  <c r="AC261" i="65"/>
  <c r="AC266" i="65"/>
  <c r="AC265" i="65"/>
  <c r="AC269" i="65"/>
  <c r="AC267" i="65"/>
  <c r="AC264" i="65"/>
  <c r="AC271" i="65"/>
  <c r="AC268" i="65"/>
  <c r="AC284" i="65"/>
  <c r="AC282" i="65"/>
  <c r="AC270" i="65"/>
  <c r="W295" i="65"/>
  <c r="W287" i="65"/>
  <c r="W285" i="65"/>
  <c r="W296" i="65"/>
  <c r="W288" i="65"/>
  <c r="W297" i="65"/>
  <c r="W289" i="65"/>
  <c r="W283" i="65"/>
  <c r="W279" i="65"/>
  <c r="W298" i="65"/>
  <c r="W293" i="65"/>
  <c r="W286" i="65"/>
  <c r="W284" i="65"/>
  <c r="W282" i="65"/>
  <c r="W280" i="65"/>
  <c r="W290" i="65"/>
  <c r="W278" i="65"/>
  <c r="W277" i="65"/>
  <c r="W276" i="65"/>
  <c r="W266" i="65"/>
  <c r="W264" i="65"/>
  <c r="W263" i="65"/>
  <c r="W265" i="65"/>
  <c r="W271" i="65"/>
  <c r="W294" i="65"/>
  <c r="W261" i="65"/>
  <c r="W260" i="65"/>
  <c r="W269" i="65"/>
  <c r="W262" i="65"/>
  <c r="W268" i="65"/>
  <c r="W270" i="65"/>
  <c r="W281" i="65"/>
  <c r="W267" i="65"/>
  <c r="BA284" i="65"/>
  <c r="BA294" i="65"/>
  <c r="BA293" i="65"/>
  <c r="BA290" i="65"/>
  <c r="BA286" i="65"/>
  <c r="BA283" i="65"/>
  <c r="BA280" i="65"/>
  <c r="BA282" i="65"/>
  <c r="BA278" i="65"/>
  <c r="BA263" i="65"/>
  <c r="BA271" i="65"/>
  <c r="BA267" i="65"/>
  <c r="BA279" i="65"/>
  <c r="AM12" i="65"/>
  <c r="BD12" i="65"/>
  <c r="AL12" i="65"/>
  <c r="BA289" i="65"/>
  <c r="BG277" i="65"/>
  <c r="BG261" i="65"/>
  <c r="AS12" i="65"/>
  <c r="AN12" i="65"/>
  <c r="AP12" i="65"/>
  <c r="AR12" i="65"/>
  <c r="AQ12" i="65"/>
  <c r="BE12" i="65"/>
  <c r="W273" i="65"/>
  <c r="W272" i="65"/>
  <c r="W274" i="65"/>
  <c r="W275" i="65"/>
  <c r="BA275" i="65"/>
  <c r="BA273" i="65"/>
  <c r="O273" i="65"/>
  <c r="O274" i="65"/>
  <c r="O272" i="65"/>
  <c r="O275" i="65"/>
  <c r="BG275" i="65"/>
  <c r="BG274" i="65"/>
  <c r="BG272" i="65"/>
  <c r="BG273" i="65"/>
  <c r="AC275" i="65"/>
  <c r="AC274" i="65"/>
  <c r="AC272" i="65"/>
  <c r="AC273" i="65"/>
  <c r="BA209" i="65"/>
  <c r="BA207" i="65"/>
  <c r="BA217" i="65"/>
  <c r="BA212" i="65"/>
  <c r="BA214" i="65"/>
  <c r="BA211" i="65"/>
  <c r="BA210" i="65"/>
  <c r="BA206" i="65"/>
  <c r="BA205" i="65"/>
  <c r="BA202" i="65"/>
  <c r="BA199" i="65"/>
  <c r="BA219" i="65"/>
  <c r="BA196" i="65"/>
  <c r="BA200" i="65"/>
  <c r="BA195" i="65"/>
  <c r="BA193" i="65"/>
  <c r="BA198" i="65"/>
  <c r="BA220" i="65"/>
  <c r="BA218" i="65"/>
  <c r="BA208" i="65"/>
  <c r="BA194" i="65"/>
  <c r="BA197" i="65"/>
  <c r="BG211" i="65"/>
  <c r="BG208" i="65"/>
  <c r="BG206" i="65"/>
  <c r="BG214" i="65"/>
  <c r="BG210" i="65"/>
  <c r="BG213" i="65"/>
  <c r="BG217" i="65"/>
  <c r="BG209" i="65"/>
  <c r="BG199" i="65"/>
  <c r="BG207" i="65"/>
  <c r="BG205" i="65"/>
  <c r="BG202" i="65"/>
  <c r="BG198" i="65"/>
  <c r="BG197" i="65"/>
  <c r="BG200" i="65"/>
  <c r="BG194" i="65"/>
  <c r="BG221" i="65"/>
  <c r="BG220" i="65"/>
  <c r="BG219" i="65"/>
  <c r="BG218" i="65"/>
  <c r="BG196" i="65"/>
  <c r="BG201" i="65"/>
  <c r="BG195" i="65"/>
  <c r="BG193" i="65"/>
  <c r="BG212" i="65"/>
  <c r="W222" i="65"/>
  <c r="W213" i="65"/>
  <c r="W223" i="65"/>
  <c r="W212" i="65"/>
  <c r="W209" i="65"/>
  <c r="W207" i="65"/>
  <c r="W174" i="65"/>
  <c r="W217" i="65"/>
  <c r="W216" i="65"/>
  <c r="W215" i="65"/>
  <c r="W211" i="65"/>
  <c r="W214" i="65"/>
  <c r="W201" i="65"/>
  <c r="W175" i="65"/>
  <c r="W208" i="65"/>
  <c r="W202" i="65"/>
  <c r="W200" i="65"/>
  <c r="W206" i="65"/>
  <c r="W219" i="65"/>
  <c r="W196" i="65"/>
  <c r="W199" i="65"/>
  <c r="W204" i="65"/>
  <c r="W198" i="65"/>
  <c r="W195" i="65"/>
  <c r="W193" i="65"/>
  <c r="W192" i="65"/>
  <c r="W191" i="65"/>
  <c r="W221" i="65"/>
  <c r="W220" i="65"/>
  <c r="W218" i="65"/>
  <c r="W197" i="65"/>
  <c r="W210" i="65"/>
  <c r="W205" i="65"/>
  <c r="W203" i="65"/>
  <c r="W194" i="65"/>
  <c r="O223" i="65"/>
  <c r="O213" i="65"/>
  <c r="O174" i="65"/>
  <c r="O212" i="65"/>
  <c r="O209" i="65"/>
  <c r="O207" i="65"/>
  <c r="O175" i="65"/>
  <c r="O217" i="65"/>
  <c r="O216" i="65"/>
  <c r="O215" i="65"/>
  <c r="O210" i="65"/>
  <c r="O206" i="65"/>
  <c r="O201" i="65"/>
  <c r="O222" i="65"/>
  <c r="O208" i="65"/>
  <c r="O211" i="65"/>
  <c r="O198" i="65"/>
  <c r="O219" i="65"/>
  <c r="O220" i="65"/>
  <c r="O218" i="65"/>
  <c r="O197" i="65"/>
  <c r="O214" i="65"/>
  <c r="O204" i="65"/>
  <c r="O200" i="65"/>
  <c r="O221" i="65"/>
  <c r="O195" i="65"/>
  <c r="O193" i="65"/>
  <c r="O192" i="65"/>
  <c r="O191" i="65"/>
  <c r="O196" i="65"/>
  <c r="O202" i="65"/>
  <c r="O205" i="65"/>
  <c r="O203" i="65"/>
  <c r="O199" i="65"/>
  <c r="O194" i="65"/>
  <c r="AC174" i="65"/>
  <c r="AC217" i="65"/>
  <c r="AC216" i="65"/>
  <c r="AC215" i="65"/>
  <c r="AC211" i="65"/>
  <c r="AC175" i="65"/>
  <c r="AC214" i="65"/>
  <c r="AC210" i="65"/>
  <c r="AC208" i="65"/>
  <c r="AC206" i="65"/>
  <c r="AC222" i="65"/>
  <c r="AC213" i="65"/>
  <c r="AC223" i="65"/>
  <c r="AC207" i="65"/>
  <c r="AC205" i="65"/>
  <c r="AC204" i="65"/>
  <c r="AC203" i="65"/>
  <c r="AC199" i="65"/>
  <c r="AC200" i="65"/>
  <c r="AC209" i="65"/>
  <c r="AC201" i="65"/>
  <c r="AC221" i="65"/>
  <c r="AC196" i="65"/>
  <c r="AC198" i="65"/>
  <c r="AC220" i="65"/>
  <c r="AC197" i="65"/>
  <c r="AC194" i="65"/>
  <c r="AC219" i="65"/>
  <c r="AC195" i="65"/>
  <c r="AC193" i="65"/>
  <c r="AC192" i="65"/>
  <c r="AC191" i="65"/>
  <c r="AC218" i="65"/>
  <c r="AC212" i="65"/>
  <c r="AC202" i="65"/>
  <c r="O226" i="65"/>
  <c r="O228" i="65"/>
  <c r="O230" i="65"/>
  <c r="O234" i="65"/>
  <c r="O231" i="65"/>
  <c r="O225" i="65"/>
  <c r="O229" i="65"/>
  <c r="O233" i="65"/>
  <c r="O247" i="65"/>
  <c r="O245" i="65"/>
  <c r="O241" i="65"/>
  <c r="O239" i="65"/>
  <c r="O237" i="65"/>
  <c r="O236" i="65"/>
  <c r="O235" i="65"/>
  <c r="O227" i="65"/>
  <c r="O243" i="65"/>
  <c r="O232" i="65"/>
  <c r="O242" i="65"/>
  <c r="O240" i="65"/>
  <c r="O238" i="65"/>
  <c r="O224" i="65"/>
  <c r="O246" i="65"/>
  <c r="AC224" i="65"/>
  <c r="AC225" i="65"/>
  <c r="AC227" i="65"/>
  <c r="AC229" i="65"/>
  <c r="AC232" i="65"/>
  <c r="AC233" i="65"/>
  <c r="AC247" i="65"/>
  <c r="AC234" i="65"/>
  <c r="AC242" i="65"/>
  <c r="AC240" i="65"/>
  <c r="AC238" i="65"/>
  <c r="AC246" i="65"/>
  <c r="AC230" i="65"/>
  <c r="AC231" i="65"/>
  <c r="AC245" i="65"/>
  <c r="AC241" i="65"/>
  <c r="AC239" i="65"/>
  <c r="AC237" i="65"/>
  <c r="AC236" i="65"/>
  <c r="AC235" i="65"/>
  <c r="AC226" i="65"/>
  <c r="AC243" i="65"/>
  <c r="AC228" i="65"/>
  <c r="W226" i="65"/>
  <c r="W228" i="65"/>
  <c r="W230" i="65"/>
  <c r="W234" i="65"/>
  <c r="W231" i="65"/>
  <c r="W245" i="65"/>
  <c r="W241" i="65"/>
  <c r="W239" i="65"/>
  <c r="W237" i="65"/>
  <c r="W236" i="65"/>
  <c r="W235" i="65"/>
  <c r="W229" i="65"/>
  <c r="W233" i="65"/>
  <c r="W243" i="65"/>
  <c r="W224" i="65"/>
  <c r="W227" i="65"/>
  <c r="W242" i="65"/>
  <c r="W240" i="65"/>
  <c r="W238" i="65"/>
  <c r="W225" i="65"/>
  <c r="W232" i="65"/>
  <c r="W246" i="65"/>
  <c r="W247" i="65"/>
  <c r="BG226" i="65"/>
  <c r="BG232" i="65"/>
  <c r="BG225" i="65"/>
  <c r="BG227" i="65"/>
  <c r="BG229" i="65"/>
  <c r="BG233" i="65"/>
  <c r="BG247" i="65"/>
  <c r="BG228" i="65"/>
  <c r="BG242" i="65"/>
  <c r="BG230" i="65"/>
  <c r="BG246" i="65"/>
  <c r="BG241" i="65"/>
  <c r="BG239" i="65"/>
  <c r="BG237" i="65"/>
  <c r="BG231" i="65"/>
  <c r="BG245" i="65"/>
  <c r="BG234" i="65"/>
  <c r="BG243" i="65"/>
  <c r="BG240" i="65"/>
  <c r="BG238" i="65"/>
  <c r="BA225" i="65"/>
  <c r="BA230" i="65"/>
  <c r="BA226" i="65"/>
  <c r="BA228" i="65"/>
  <c r="BA231" i="65"/>
  <c r="BA234" i="65"/>
  <c r="BA245" i="65"/>
  <c r="BA243" i="65"/>
  <c r="BA240" i="65"/>
  <c r="BA238" i="65"/>
  <c r="BA229" i="65"/>
  <c r="BA232" i="65"/>
  <c r="BA247" i="65"/>
  <c r="BA242" i="65"/>
  <c r="BA227" i="65"/>
  <c r="BA241" i="65"/>
  <c r="BA239" i="65"/>
  <c r="BA237" i="65"/>
  <c r="AC258" i="65"/>
  <c r="AC248" i="65"/>
  <c r="AC249" i="65"/>
  <c r="AC250" i="65"/>
  <c r="AC252" i="65"/>
  <c r="AC254" i="65"/>
  <c r="AC259" i="65"/>
  <c r="AC251" i="65"/>
  <c r="AC253" i="65"/>
  <c r="AC255" i="65"/>
  <c r="BH10" i="65"/>
  <c r="BH121" i="65" s="1"/>
  <c r="BG251" i="65"/>
  <c r="BG253" i="65"/>
  <c r="BG258" i="65"/>
  <c r="BG259" i="65"/>
  <c r="BG250" i="65"/>
  <c r="BG252" i="65"/>
  <c r="BG254" i="65"/>
  <c r="BG255" i="65"/>
  <c r="W251" i="65"/>
  <c r="W253" i="65"/>
  <c r="W255" i="65"/>
  <c r="W258" i="65"/>
  <c r="W249" i="65"/>
  <c r="W252" i="65"/>
  <c r="W259" i="65"/>
  <c r="W248" i="65"/>
  <c r="W254" i="65"/>
  <c r="W250" i="65"/>
  <c r="BB10" i="65"/>
  <c r="BA250" i="65"/>
  <c r="BA252" i="65"/>
  <c r="BA254" i="65"/>
  <c r="BA255" i="65"/>
  <c r="BA251" i="65"/>
  <c r="BA253" i="65"/>
  <c r="BA258" i="65"/>
  <c r="BA259" i="65"/>
  <c r="O251" i="65"/>
  <c r="O253" i="65"/>
  <c r="O255" i="65"/>
  <c r="O258" i="65"/>
  <c r="O248" i="65"/>
  <c r="O249" i="65"/>
  <c r="O254" i="65"/>
  <c r="O250" i="65"/>
  <c r="O252" i="65"/>
  <c r="O259" i="65"/>
  <c r="AC179" i="65"/>
  <c r="AC173" i="65"/>
  <c r="AC169" i="65"/>
  <c r="AC185" i="65"/>
  <c r="AC184" i="65"/>
  <c r="AC183" i="65"/>
  <c r="AC182" i="65"/>
  <c r="AC181" i="65"/>
  <c r="AC180" i="65"/>
  <c r="AC176" i="65"/>
  <c r="AC170" i="65"/>
  <c r="AC177" i="65"/>
  <c r="AC171" i="65"/>
  <c r="AC167" i="65"/>
  <c r="AC166" i="65"/>
  <c r="AC165" i="65"/>
  <c r="AC164" i="65"/>
  <c r="AC163" i="65"/>
  <c r="AC162" i="65"/>
  <c r="AC161" i="65"/>
  <c r="AC160" i="65"/>
  <c r="AC159" i="65"/>
  <c r="AC158" i="65"/>
  <c r="AC157" i="65"/>
  <c r="AC156" i="65"/>
  <c r="AC155" i="65"/>
  <c r="AC154" i="65"/>
  <c r="AC153" i="65"/>
  <c r="AC152" i="65"/>
  <c r="AC168" i="65"/>
  <c r="AC172" i="65"/>
  <c r="AC178" i="65"/>
  <c r="W185" i="65"/>
  <c r="W184" i="65"/>
  <c r="W183" i="65"/>
  <c r="W182" i="65"/>
  <c r="W181" i="65"/>
  <c r="W178" i="65"/>
  <c r="W172" i="65"/>
  <c r="W168" i="65"/>
  <c r="W179" i="65"/>
  <c r="W173" i="65"/>
  <c r="W169" i="65"/>
  <c r="W180" i="65"/>
  <c r="W176" i="65"/>
  <c r="W170" i="65"/>
  <c r="W167" i="65"/>
  <c r="W156" i="65"/>
  <c r="W152" i="65"/>
  <c r="W171" i="65"/>
  <c r="W166" i="65"/>
  <c r="W165" i="65"/>
  <c r="W164" i="65"/>
  <c r="W163" i="65"/>
  <c r="W162" i="65"/>
  <c r="W161" i="65"/>
  <c r="W160" i="65"/>
  <c r="W159" i="65"/>
  <c r="W155" i="65"/>
  <c r="W177" i="65"/>
  <c r="W158" i="65"/>
  <c r="W154" i="65"/>
  <c r="W157" i="65"/>
  <c r="W153" i="65"/>
  <c r="O185" i="65"/>
  <c r="O184" i="65"/>
  <c r="O183" i="65"/>
  <c r="O182" i="65"/>
  <c r="O181" i="65"/>
  <c r="O180" i="65"/>
  <c r="O176" i="65"/>
  <c r="O170" i="65"/>
  <c r="O177" i="65"/>
  <c r="O171" i="65"/>
  <c r="O167" i="65"/>
  <c r="O178" i="65"/>
  <c r="O172" i="65"/>
  <c r="O168" i="65"/>
  <c r="O179" i="65"/>
  <c r="O159" i="65"/>
  <c r="O155" i="65"/>
  <c r="O158" i="65"/>
  <c r="O154" i="65"/>
  <c r="O156" i="65"/>
  <c r="O152" i="65"/>
  <c r="O169" i="65"/>
  <c r="O166" i="65"/>
  <c r="O165" i="65"/>
  <c r="O164" i="65"/>
  <c r="O163" i="65"/>
  <c r="O162" i="65"/>
  <c r="O161" i="65"/>
  <c r="O160" i="65"/>
  <c r="O157" i="65"/>
  <c r="O153" i="65"/>
  <c r="O173" i="65"/>
  <c r="N151" i="65"/>
  <c r="T151" i="65"/>
  <c r="AB151" i="65"/>
  <c r="V151" i="65"/>
  <c r="M12" i="65"/>
  <c r="N121" i="65"/>
  <c r="V121" i="65"/>
  <c r="T121" i="65"/>
  <c r="AB121" i="65"/>
  <c r="O150" i="65"/>
  <c r="O149" i="65"/>
  <c r="O148" i="65"/>
  <c r="O147" i="65"/>
  <c r="O146" i="65"/>
  <c r="O145" i="65"/>
  <c r="O144" i="65"/>
  <c r="O143" i="65"/>
  <c r="O142" i="65"/>
  <c r="O141" i="65"/>
  <c r="O140" i="65"/>
  <c r="O133" i="65"/>
  <c r="O129" i="65"/>
  <c r="O125" i="65"/>
  <c r="O120" i="65"/>
  <c r="O116" i="65"/>
  <c r="O137" i="65"/>
  <c r="O130" i="65"/>
  <c r="O126" i="65"/>
  <c r="O122" i="65"/>
  <c r="O117" i="65"/>
  <c r="O135" i="65"/>
  <c r="O132" i="65"/>
  <c r="O127" i="65"/>
  <c r="O124" i="65"/>
  <c r="O118" i="65"/>
  <c r="O115" i="65"/>
  <c r="O113" i="65"/>
  <c r="O112" i="65"/>
  <c r="O111" i="65"/>
  <c r="O138" i="65"/>
  <c r="O134" i="65"/>
  <c r="O139" i="65"/>
  <c r="O131" i="65"/>
  <c r="O128" i="65"/>
  <c r="O123" i="65"/>
  <c r="O119" i="65"/>
  <c r="O114" i="65"/>
  <c r="O109" i="65"/>
  <c r="O108" i="65"/>
  <c r="O107" i="65"/>
  <c r="O106" i="65"/>
  <c r="O105" i="65"/>
  <c r="O104" i="65"/>
  <c r="O103" i="65"/>
  <c r="O102" i="65"/>
  <c r="O101" i="65"/>
  <c r="O100" i="65"/>
  <c r="O99" i="65"/>
  <c r="O136" i="65"/>
  <c r="O110" i="65"/>
  <c r="W137" i="65"/>
  <c r="W138" i="65"/>
  <c r="W148" i="65"/>
  <c r="W144" i="65"/>
  <c r="W140" i="65"/>
  <c r="W131" i="65"/>
  <c r="W127" i="65"/>
  <c r="W123" i="65"/>
  <c r="W118" i="65"/>
  <c r="W114" i="65"/>
  <c r="W147" i="65"/>
  <c r="W143" i="65"/>
  <c r="W132" i="65"/>
  <c r="W128" i="65"/>
  <c r="W124" i="65"/>
  <c r="W119" i="65"/>
  <c r="W115" i="65"/>
  <c r="W145" i="65"/>
  <c r="W135" i="65"/>
  <c r="W130" i="65"/>
  <c r="W129" i="65"/>
  <c r="W122" i="65"/>
  <c r="W120" i="65"/>
  <c r="W113" i="65"/>
  <c r="W110" i="65"/>
  <c r="W146" i="65"/>
  <c r="W134" i="65"/>
  <c r="W149" i="65"/>
  <c r="W141" i="65"/>
  <c r="W139" i="65"/>
  <c r="W133" i="65"/>
  <c r="W126" i="65"/>
  <c r="W125" i="65"/>
  <c r="W117" i="65"/>
  <c r="W116" i="65"/>
  <c r="W109" i="65"/>
  <c r="W108" i="65"/>
  <c r="W107" i="65"/>
  <c r="W106" i="65"/>
  <c r="W105" i="65"/>
  <c r="W104" i="65"/>
  <c r="W103" i="65"/>
  <c r="W102" i="65"/>
  <c r="W101" i="65"/>
  <c r="W100" i="65"/>
  <c r="W99" i="65"/>
  <c r="W150" i="65"/>
  <c r="W142" i="65"/>
  <c r="W136" i="65"/>
  <c r="W112" i="65"/>
  <c r="W111" i="65"/>
  <c r="AC137" i="65"/>
  <c r="AC150" i="65"/>
  <c r="AC149" i="65"/>
  <c r="AC148" i="65"/>
  <c r="AC147" i="65"/>
  <c r="AC146" i="65"/>
  <c r="AC145" i="65"/>
  <c r="AC144" i="65"/>
  <c r="AC143" i="65"/>
  <c r="AC142" i="65"/>
  <c r="AC141" i="65"/>
  <c r="AC140" i="65"/>
  <c r="AC138" i="65"/>
  <c r="AC111" i="65"/>
  <c r="AC139" i="65"/>
  <c r="AC136" i="65"/>
  <c r="AC135" i="65"/>
  <c r="AC134" i="65"/>
  <c r="AC133" i="65"/>
  <c r="AC132" i="65"/>
  <c r="AC128" i="65"/>
  <c r="AC124" i="65"/>
  <c r="AC119" i="65"/>
  <c r="AC115" i="65"/>
  <c r="AC110" i="65"/>
  <c r="AC109" i="65"/>
  <c r="AC129" i="65"/>
  <c r="AC125" i="65"/>
  <c r="AC120" i="65"/>
  <c r="AC116" i="65"/>
  <c r="AC130" i="65"/>
  <c r="AC122" i="65"/>
  <c r="AC113" i="65"/>
  <c r="AC127" i="65"/>
  <c r="AC118" i="65"/>
  <c r="AC126" i="65"/>
  <c r="AC117" i="65"/>
  <c r="AC131" i="65"/>
  <c r="AC123" i="65"/>
  <c r="AC114" i="65"/>
  <c r="AC112" i="65"/>
  <c r="AC106" i="65"/>
  <c r="AC102" i="65"/>
  <c r="AC101" i="65"/>
  <c r="AC100" i="65"/>
  <c r="AC99" i="65"/>
  <c r="AC107" i="65"/>
  <c r="AC103" i="65"/>
  <c r="AC108" i="65"/>
  <c r="AC104" i="65"/>
  <c r="AC105" i="65"/>
  <c r="S12" i="65"/>
  <c r="AA12" i="65"/>
  <c r="U12" i="65"/>
  <c r="T96" i="65"/>
  <c r="AB96" i="65"/>
  <c r="W98" i="65"/>
  <c r="W190" i="65"/>
  <c r="W189" i="65"/>
  <c r="W188" i="65"/>
  <c r="W187" i="65"/>
  <c r="W97" i="65"/>
  <c r="W46" i="65"/>
  <c r="W47" i="65"/>
  <c r="W49" i="65"/>
  <c r="W51" i="65"/>
  <c r="W53" i="65"/>
  <c r="W55" i="65"/>
  <c r="W57" i="65"/>
  <c r="W59" i="65"/>
  <c r="W61" i="65"/>
  <c r="W65" i="65"/>
  <c r="W69" i="65"/>
  <c r="W73" i="65"/>
  <c r="W52" i="65"/>
  <c r="W54" i="65"/>
  <c r="W62" i="65"/>
  <c r="W66" i="65"/>
  <c r="W70" i="65"/>
  <c r="W74" i="65"/>
  <c r="W64" i="65"/>
  <c r="W68" i="65"/>
  <c r="W72" i="65"/>
  <c r="W76" i="65"/>
  <c r="W77" i="65"/>
  <c r="W78" i="65"/>
  <c r="W79" i="65"/>
  <c r="W80" i="65"/>
  <c r="W81" i="65"/>
  <c r="W82" i="65"/>
  <c r="W83" i="65"/>
  <c r="W84" i="65"/>
  <c r="W85" i="65"/>
  <c r="W86" i="65"/>
  <c r="W87" i="65"/>
  <c r="W88" i="65"/>
  <c r="W89" i="65"/>
  <c r="W90" i="65"/>
  <c r="W91" i="65"/>
  <c r="W92" i="65"/>
  <c r="W93" i="65"/>
  <c r="W94" i="65"/>
  <c r="W95" i="65"/>
  <c r="W48" i="65"/>
  <c r="W50" i="65"/>
  <c r="W56" i="65"/>
  <c r="W58" i="65"/>
  <c r="W60" i="65"/>
  <c r="W63" i="65"/>
  <c r="W67" i="65"/>
  <c r="W71" i="65"/>
  <c r="W75" i="65"/>
  <c r="AC98" i="65"/>
  <c r="AC46" i="65"/>
  <c r="AC47" i="65"/>
  <c r="AC48" i="65"/>
  <c r="AC49" i="65"/>
  <c r="AC50" i="65"/>
  <c r="AC51" i="65"/>
  <c r="AC52" i="65"/>
  <c r="AC53" i="65"/>
  <c r="AC54" i="65"/>
  <c r="AC55" i="65"/>
  <c r="AC56" i="65"/>
  <c r="AC57" i="65"/>
  <c r="AC58" i="65"/>
  <c r="AC59" i="65"/>
  <c r="AC60" i="65"/>
  <c r="AC61" i="65"/>
  <c r="AC190" i="65"/>
  <c r="AC189" i="65"/>
  <c r="AC188" i="65"/>
  <c r="AC187" i="65"/>
  <c r="AC97" i="65"/>
  <c r="AC65" i="65"/>
  <c r="AC69" i="65"/>
  <c r="AC73" i="65"/>
  <c r="AC63" i="65"/>
  <c r="AC67" i="65"/>
  <c r="AC71" i="65"/>
  <c r="AC75" i="65"/>
  <c r="AC66" i="65"/>
  <c r="AC70" i="65"/>
  <c r="AC74" i="65"/>
  <c r="AC77" i="65"/>
  <c r="AC78" i="65"/>
  <c r="AC79" i="65"/>
  <c r="AC64" i="65"/>
  <c r="AC68" i="65"/>
  <c r="AC72" i="65"/>
  <c r="AC76" i="65"/>
  <c r="AC62" i="65"/>
  <c r="AC80" i="65"/>
  <c r="AC81" i="65"/>
  <c r="AC82" i="65"/>
  <c r="AC83" i="65"/>
  <c r="AC84" i="65"/>
  <c r="AC85" i="65"/>
  <c r="AC86" i="65"/>
  <c r="AC87" i="65"/>
  <c r="AC88" i="65"/>
  <c r="AC89" i="65"/>
  <c r="AC90" i="65"/>
  <c r="AC91" i="65"/>
  <c r="AC92" i="65"/>
  <c r="AC93" i="65"/>
  <c r="AC94" i="65"/>
  <c r="AC95" i="65"/>
  <c r="O98" i="65"/>
  <c r="O190" i="65"/>
  <c r="O189" i="65"/>
  <c r="O188" i="65"/>
  <c r="O187" i="65"/>
  <c r="O97" i="65"/>
  <c r="O46" i="65"/>
  <c r="O47" i="65"/>
  <c r="O48" i="65"/>
  <c r="O49" i="65"/>
  <c r="O50" i="65"/>
  <c r="O51" i="65"/>
  <c r="O52" i="65"/>
  <c r="O53" i="65"/>
  <c r="O54" i="65"/>
  <c r="O55" i="65"/>
  <c r="O56" i="65"/>
  <c r="O57" i="65"/>
  <c r="O58" i="65"/>
  <c r="O59" i="65"/>
  <c r="O60" i="65"/>
  <c r="O61" i="65"/>
  <c r="O62" i="65"/>
  <c r="O63" i="65"/>
  <c r="O67" i="65"/>
  <c r="O71" i="65"/>
  <c r="O75" i="65"/>
  <c r="O65" i="65"/>
  <c r="O69" i="65"/>
  <c r="O73" i="65"/>
  <c r="O77" i="65"/>
  <c r="O64" i="65"/>
  <c r="O68" i="65"/>
  <c r="O72" i="65"/>
  <c r="O76" i="65"/>
  <c r="O66" i="65"/>
  <c r="O70" i="65"/>
  <c r="O74" i="65"/>
  <c r="O78" i="65"/>
  <c r="O79" i="65"/>
  <c r="O80" i="65"/>
  <c r="O81" i="65"/>
  <c r="O82" i="65"/>
  <c r="O83" i="65"/>
  <c r="O84" i="65"/>
  <c r="O85" i="65"/>
  <c r="O86" i="65"/>
  <c r="O87" i="65"/>
  <c r="O88" i="65"/>
  <c r="O89" i="65"/>
  <c r="O90" i="65"/>
  <c r="O91" i="65"/>
  <c r="O92" i="65"/>
  <c r="O93" i="65"/>
  <c r="O94" i="65"/>
  <c r="O95" i="65"/>
  <c r="N96" i="65"/>
  <c r="V96" i="65"/>
  <c r="BH122" i="65"/>
  <c r="N13" i="65"/>
  <c r="T13" i="65"/>
  <c r="V13" i="65"/>
  <c r="AB13" i="65"/>
  <c r="AC17" i="65"/>
  <c r="AC21" i="65"/>
  <c r="AC25" i="65"/>
  <c r="AC29" i="65"/>
  <c r="AC33" i="65"/>
  <c r="AC37" i="65"/>
  <c r="AC41" i="65"/>
  <c r="AC45" i="65"/>
  <c r="AC20" i="65"/>
  <c r="AC24" i="65"/>
  <c r="AC28" i="65"/>
  <c r="AC32" i="65"/>
  <c r="AC36" i="65"/>
  <c r="AC40" i="65"/>
  <c r="AC44" i="65"/>
  <c r="AC16" i="65"/>
  <c r="AC18" i="65"/>
  <c r="AC26" i="65"/>
  <c r="AC34" i="65"/>
  <c r="AC42" i="65"/>
  <c r="AC23" i="65"/>
  <c r="AC31" i="65"/>
  <c r="AC39" i="65"/>
  <c r="AC22" i="65"/>
  <c r="AC30" i="65"/>
  <c r="AC38" i="65"/>
  <c r="AC19" i="65"/>
  <c r="AC27" i="65"/>
  <c r="AC35" i="65"/>
  <c r="AC43" i="65"/>
  <c r="W43" i="65"/>
  <c r="W44" i="65"/>
  <c r="W37" i="65"/>
  <c r="W41" i="65"/>
  <c r="W45" i="65"/>
  <c r="W40" i="65"/>
  <c r="W36" i="65"/>
  <c r="W29" i="65"/>
  <c r="W25" i="65"/>
  <c r="W17" i="65"/>
  <c r="W42" i="65"/>
  <c r="W35" i="65"/>
  <c r="W34" i="65"/>
  <c r="W33" i="65"/>
  <c r="W32" i="65"/>
  <c r="W28" i="65"/>
  <c r="W24" i="65"/>
  <c r="W23" i="65"/>
  <c r="W18" i="65"/>
  <c r="W31" i="65"/>
  <c r="W27" i="65"/>
  <c r="W22" i="65"/>
  <c r="W19" i="65"/>
  <c r="W16" i="65"/>
  <c r="W20" i="65"/>
  <c r="W39" i="65"/>
  <c r="W26" i="65"/>
  <c r="W38" i="65"/>
  <c r="W30" i="65"/>
  <c r="W21" i="65"/>
  <c r="P10" i="65"/>
  <c r="O43" i="65"/>
  <c r="O44" i="65"/>
  <c r="O37" i="65"/>
  <c r="O41" i="65"/>
  <c r="O45" i="65"/>
  <c r="O40" i="65"/>
  <c r="O36" i="65"/>
  <c r="O35" i="65"/>
  <c r="O34" i="65"/>
  <c r="O33" i="65"/>
  <c r="O29" i="65"/>
  <c r="O25" i="65"/>
  <c r="O24" i="65"/>
  <c r="O17" i="65"/>
  <c r="O42" i="65"/>
  <c r="O28" i="65"/>
  <c r="O23" i="65"/>
  <c r="O18" i="65"/>
  <c r="O39" i="65"/>
  <c r="O38" i="65"/>
  <c r="O32" i="65"/>
  <c r="O31" i="65"/>
  <c r="O27" i="65"/>
  <c r="O22" i="65"/>
  <c r="O19" i="65"/>
  <c r="O16" i="65"/>
  <c r="O26" i="65"/>
  <c r="O20" i="65"/>
  <c r="O30" i="65"/>
  <c r="O21" i="65"/>
  <c r="BA299" i="65"/>
  <c r="BH152" i="65"/>
  <c r="BH123" i="65"/>
  <c r="BH188" i="65"/>
  <c r="BH186" i="65"/>
  <c r="BH99" i="65"/>
  <c r="BH97" i="65"/>
  <c r="BG299" i="65"/>
  <c r="AZ12" i="65"/>
  <c r="BF12" i="65"/>
  <c r="AD10" i="65"/>
  <c r="X10" i="65"/>
  <c r="BH98" i="65" l="1"/>
  <c r="BH189" i="65"/>
  <c r="BI10" i="65"/>
  <c r="BI292" i="65" s="1"/>
  <c r="BH299" i="65"/>
  <c r="BH96" i="65"/>
  <c r="BH187" i="65"/>
  <c r="BH151" i="65"/>
  <c r="BH190" i="65"/>
  <c r="BH292" i="65"/>
  <c r="BH256" i="65"/>
  <c r="BH257" i="65"/>
  <c r="BH291" i="65"/>
  <c r="BH244" i="65"/>
  <c r="X244" i="65"/>
  <c r="X292" i="65"/>
  <c r="X291" i="65"/>
  <c r="X257" i="65"/>
  <c r="X256" i="65"/>
  <c r="BI291" i="65"/>
  <c r="BI244" i="65"/>
  <c r="BI257" i="65"/>
  <c r="BB292" i="65"/>
  <c r="BB244" i="65"/>
  <c r="BB256" i="65"/>
  <c r="BB291" i="65"/>
  <c r="BB257" i="65"/>
  <c r="AD257" i="65"/>
  <c r="AD256" i="65"/>
  <c r="AD292" i="65"/>
  <c r="AD291" i="65"/>
  <c r="AD244" i="65"/>
  <c r="P292" i="65"/>
  <c r="P291" i="65"/>
  <c r="P257" i="65"/>
  <c r="P256" i="65"/>
  <c r="P244" i="65"/>
  <c r="AC186" i="65"/>
  <c r="O186" i="65"/>
  <c r="W186" i="65"/>
  <c r="X296" i="65"/>
  <c r="X288" i="65"/>
  <c r="X297" i="65"/>
  <c r="X289" i="65"/>
  <c r="X298" i="65"/>
  <c r="X294" i="65"/>
  <c r="X293" i="65"/>
  <c r="X290" i="65"/>
  <c r="X286" i="65"/>
  <c r="X285" i="65"/>
  <c r="X284" i="65"/>
  <c r="X282" i="65"/>
  <c r="X280" i="65"/>
  <c r="X295" i="65"/>
  <c r="X278" i="65"/>
  <c r="X277" i="65"/>
  <c r="X276" i="65"/>
  <c r="X281" i="65"/>
  <c r="X263" i="65"/>
  <c r="X265" i="65"/>
  <c r="X261" i="65"/>
  <c r="X270" i="65"/>
  <c r="X268" i="65"/>
  <c r="X287" i="65"/>
  <c r="X279" i="65"/>
  <c r="X260" i="65"/>
  <c r="X262" i="65"/>
  <c r="X267" i="65"/>
  <c r="X283" i="65"/>
  <c r="X264" i="65"/>
  <c r="X269" i="65"/>
  <c r="X266" i="65"/>
  <c r="X271" i="65"/>
  <c r="BI294" i="65"/>
  <c r="BI293" i="65"/>
  <c r="BI284" i="65"/>
  <c r="BI288" i="65"/>
  <c r="BI279" i="65"/>
  <c r="BI278" i="65"/>
  <c r="BI263" i="65"/>
  <c r="BI262" i="65"/>
  <c r="BI270" i="65"/>
  <c r="BI276" i="65"/>
  <c r="BI295" i="65"/>
  <c r="BI269" i="65"/>
  <c r="BI265" i="65"/>
  <c r="BI277" i="65"/>
  <c r="BI261" i="65"/>
  <c r="BI281" i="65"/>
  <c r="BI268" i="65"/>
  <c r="AD298" i="65"/>
  <c r="AD294" i="65"/>
  <c r="AD293" i="65"/>
  <c r="AD290" i="65"/>
  <c r="AD286" i="65"/>
  <c r="AD295" i="65"/>
  <c r="AD287" i="65"/>
  <c r="AD285" i="65"/>
  <c r="AD296" i="65"/>
  <c r="AD288" i="65"/>
  <c r="AD281" i="65"/>
  <c r="AD289" i="65"/>
  <c r="AD283" i="65"/>
  <c r="AD279" i="65"/>
  <c r="AD262" i="65"/>
  <c r="AD284" i="65"/>
  <c r="AD282" i="65"/>
  <c r="AD280" i="65"/>
  <c r="AD261" i="65"/>
  <c r="AD267" i="65"/>
  <c r="AD297" i="65"/>
  <c r="AD276" i="65"/>
  <c r="AD277" i="65"/>
  <c r="AD263" i="65"/>
  <c r="AD260" i="65"/>
  <c r="AD278" i="65"/>
  <c r="AD270" i="65"/>
  <c r="AD268" i="65"/>
  <c r="AD264" i="65"/>
  <c r="AD269" i="65"/>
  <c r="AD266" i="65"/>
  <c r="AD265" i="65"/>
  <c r="AD271" i="65"/>
  <c r="P296" i="65"/>
  <c r="P288" i="65"/>
  <c r="P297" i="65"/>
  <c r="P289" i="65"/>
  <c r="P298" i="65"/>
  <c r="P294" i="65"/>
  <c r="P293" i="65"/>
  <c r="P290" i="65"/>
  <c r="P286" i="65"/>
  <c r="P285" i="65"/>
  <c r="P284" i="65"/>
  <c r="P282" i="65"/>
  <c r="P280" i="65"/>
  <c r="P295" i="65"/>
  <c r="P278" i="65"/>
  <c r="P277" i="65"/>
  <c r="P276" i="65"/>
  <c r="P281" i="65"/>
  <c r="P263" i="65"/>
  <c r="P265" i="65"/>
  <c r="P287" i="65"/>
  <c r="P260" i="65"/>
  <c r="P267" i="65"/>
  <c r="P266" i="65"/>
  <c r="P270" i="65"/>
  <c r="P279" i="65"/>
  <c r="P261" i="65"/>
  <c r="P264" i="65"/>
  <c r="P268" i="65"/>
  <c r="P271" i="65"/>
  <c r="P283" i="65"/>
  <c r="P262" i="65"/>
  <c r="P269" i="65"/>
  <c r="BH297" i="65"/>
  <c r="BH294" i="65"/>
  <c r="BH293" i="65"/>
  <c r="BH298" i="65"/>
  <c r="BH287" i="65"/>
  <c r="BH284" i="65"/>
  <c r="BH276" i="65"/>
  <c r="BH263" i="65"/>
  <c r="BH296" i="65"/>
  <c r="BH280" i="65"/>
  <c r="BH262" i="65"/>
  <c r="BH282" i="65"/>
  <c r="BH279" i="65"/>
  <c r="BH278" i="65"/>
  <c r="BH267" i="65"/>
  <c r="BH266" i="65"/>
  <c r="BH288" i="65"/>
  <c r="BH270" i="65"/>
  <c r="BH271" i="65"/>
  <c r="BH281" i="65"/>
  <c r="BH261" i="65"/>
  <c r="BH265" i="65"/>
  <c r="BH264" i="65"/>
  <c r="BH269" i="65"/>
  <c r="BH286" i="65"/>
  <c r="BH283" i="65"/>
  <c r="BH295" i="65"/>
  <c r="BH289" i="65"/>
  <c r="BH290" i="65"/>
  <c r="BH268" i="65"/>
  <c r="BH260" i="65"/>
  <c r="BH277" i="65"/>
  <c r="BH285" i="65"/>
  <c r="BB296" i="65"/>
  <c r="BB284" i="65"/>
  <c r="BB297" i="65"/>
  <c r="BB293" i="65"/>
  <c r="BB290" i="65"/>
  <c r="BB282" i="65"/>
  <c r="BB278" i="65"/>
  <c r="BB264" i="65"/>
  <c r="BB270" i="65"/>
  <c r="BB268" i="65"/>
  <c r="BB283" i="65"/>
  <c r="BB280" i="65"/>
  <c r="BB262" i="65"/>
  <c r="BB266" i="65"/>
  <c r="BB260" i="65"/>
  <c r="BB298" i="65"/>
  <c r="BB295" i="65"/>
  <c r="BB277" i="65"/>
  <c r="BB285" i="65"/>
  <c r="BB281" i="65"/>
  <c r="BB294" i="65"/>
  <c r="BB289" i="65"/>
  <c r="BB279" i="65"/>
  <c r="P272" i="65"/>
  <c r="P275" i="65"/>
  <c r="P273" i="65"/>
  <c r="P274" i="65"/>
  <c r="BH274" i="65"/>
  <c r="BH273" i="65"/>
  <c r="BH275" i="65"/>
  <c r="BH272" i="65"/>
  <c r="BB272" i="65"/>
  <c r="BB274" i="65"/>
  <c r="X272" i="65"/>
  <c r="X275" i="65"/>
  <c r="X273" i="65"/>
  <c r="X274" i="65"/>
  <c r="AD274" i="65"/>
  <c r="AD273" i="65"/>
  <c r="AD275" i="65"/>
  <c r="AD272" i="65"/>
  <c r="BI273" i="65"/>
  <c r="BI272" i="65"/>
  <c r="AD175" i="65"/>
  <c r="AD214" i="65"/>
  <c r="AD210" i="65"/>
  <c r="AD208" i="65"/>
  <c r="AD206" i="65"/>
  <c r="AD222" i="65"/>
  <c r="AD213" i="65"/>
  <c r="AD223" i="65"/>
  <c r="AD212" i="65"/>
  <c r="AD217" i="65"/>
  <c r="AD215" i="65"/>
  <c r="AD209" i="65"/>
  <c r="AD202" i="65"/>
  <c r="AD198" i="65"/>
  <c r="AD201" i="65"/>
  <c r="AD174" i="65"/>
  <c r="AD220" i="65"/>
  <c r="AD197" i="65"/>
  <c r="AD216" i="65"/>
  <c r="AD194" i="65"/>
  <c r="AD200" i="65"/>
  <c r="AD196" i="65"/>
  <c r="AD211" i="65"/>
  <c r="AD204" i="65"/>
  <c r="AD221" i="65"/>
  <c r="AD218" i="65"/>
  <c r="AD199" i="65"/>
  <c r="AD219" i="65"/>
  <c r="AD195" i="65"/>
  <c r="AD193" i="65"/>
  <c r="AD192" i="65"/>
  <c r="AD191" i="65"/>
  <c r="AD207" i="65"/>
  <c r="AD205" i="65"/>
  <c r="AD203" i="65"/>
  <c r="BI213" i="65"/>
  <c r="BI209" i="65"/>
  <c r="BI212" i="65"/>
  <c r="BI211" i="65"/>
  <c r="BI206" i="65"/>
  <c r="BI201" i="65"/>
  <c r="BI219" i="65"/>
  <c r="BI196" i="65"/>
  <c r="BI204" i="65"/>
  <c r="BI202" i="65"/>
  <c r="BI193" i="65"/>
  <c r="BI197" i="65"/>
  <c r="BI220" i="65"/>
  <c r="BI194" i="65"/>
  <c r="BI215" i="65"/>
  <c r="BI208" i="65"/>
  <c r="X223" i="65"/>
  <c r="X212" i="65"/>
  <c r="X209" i="65"/>
  <c r="X207" i="65"/>
  <c r="X174" i="65"/>
  <c r="X217" i="65"/>
  <c r="X216" i="65"/>
  <c r="X215" i="65"/>
  <c r="X211" i="65"/>
  <c r="X175" i="65"/>
  <c r="X214" i="65"/>
  <c r="X222" i="65"/>
  <c r="X206" i="65"/>
  <c r="X200" i="65"/>
  <c r="X213" i="65"/>
  <c r="X218" i="65"/>
  <c r="X196" i="65"/>
  <c r="X204" i="65"/>
  <c r="X198" i="65"/>
  <c r="X219" i="65"/>
  <c r="X195" i="65"/>
  <c r="X193" i="65"/>
  <c r="X192" i="65"/>
  <c r="X191" i="65"/>
  <c r="X221" i="65"/>
  <c r="X220" i="65"/>
  <c r="X197" i="65"/>
  <c r="X201" i="65"/>
  <c r="X210" i="65"/>
  <c r="X205" i="65"/>
  <c r="X203" i="65"/>
  <c r="X202" i="65"/>
  <c r="X199" i="65"/>
  <c r="X194" i="65"/>
  <c r="X208" i="65"/>
  <c r="P174" i="65"/>
  <c r="P212" i="65"/>
  <c r="P209" i="65"/>
  <c r="P207" i="65"/>
  <c r="P175" i="65"/>
  <c r="P217" i="65"/>
  <c r="P216" i="65"/>
  <c r="P215" i="65"/>
  <c r="P211" i="65"/>
  <c r="P222" i="65"/>
  <c r="P214" i="65"/>
  <c r="P200" i="65"/>
  <c r="P198" i="65"/>
  <c r="P205" i="65"/>
  <c r="P204" i="65"/>
  <c r="P203" i="65"/>
  <c r="P202" i="65"/>
  <c r="P201" i="65"/>
  <c r="P199" i="65"/>
  <c r="P218" i="65"/>
  <c r="P213" i="65"/>
  <c r="P206" i="65"/>
  <c r="P221" i="65"/>
  <c r="P195" i="65"/>
  <c r="P193" i="65"/>
  <c r="P192" i="65"/>
  <c r="P191" i="65"/>
  <c r="P223" i="65"/>
  <c r="P197" i="65"/>
  <c r="P220" i="65"/>
  <c r="P219" i="65"/>
  <c r="P210" i="65"/>
  <c r="P208" i="65"/>
  <c r="P196" i="65"/>
  <c r="P194" i="65"/>
  <c r="BH216" i="65"/>
  <c r="BH215" i="65"/>
  <c r="BH214" i="65"/>
  <c r="BH210" i="65"/>
  <c r="BH213" i="65"/>
  <c r="BH209" i="65"/>
  <c r="BH207" i="65"/>
  <c r="BH217" i="65"/>
  <c r="BH212" i="65"/>
  <c r="BH204" i="65"/>
  <c r="BH203" i="65"/>
  <c r="BH202" i="65"/>
  <c r="BH198" i="65"/>
  <c r="BH208" i="65"/>
  <c r="BH206" i="65"/>
  <c r="BH199" i="65"/>
  <c r="BH211" i="65"/>
  <c r="BH221" i="65"/>
  <c r="BH220" i="65"/>
  <c r="BH219" i="65"/>
  <c r="BH218" i="65"/>
  <c r="BH196" i="65"/>
  <c r="BH205" i="65"/>
  <c r="BH201" i="65"/>
  <c r="BH195" i="65"/>
  <c r="BH193" i="65"/>
  <c r="BH194" i="65"/>
  <c r="BH197" i="65"/>
  <c r="BH200" i="65"/>
  <c r="BH192" i="65"/>
  <c r="BH191" i="65"/>
  <c r="BB217" i="65"/>
  <c r="BB212" i="65"/>
  <c r="BB211" i="65"/>
  <c r="BB208" i="65"/>
  <c r="BB206" i="65"/>
  <c r="BB213" i="65"/>
  <c r="BB207" i="65"/>
  <c r="BB205" i="65"/>
  <c r="BB200" i="65"/>
  <c r="BB201" i="65"/>
  <c r="BB199" i="65"/>
  <c r="BB210" i="65"/>
  <c r="BB198" i="65"/>
  <c r="BB218" i="65"/>
  <c r="BB221" i="65"/>
  <c r="BB220" i="65"/>
  <c r="BB209" i="65"/>
  <c r="BB194" i="65"/>
  <c r="BB193" i="65"/>
  <c r="BB219" i="65"/>
  <c r="BB197" i="65"/>
  <c r="BB196" i="65"/>
  <c r="BB195" i="65"/>
  <c r="P224" i="65"/>
  <c r="P225" i="65"/>
  <c r="P233" i="65"/>
  <c r="P226" i="65"/>
  <c r="P228" i="65"/>
  <c r="P230" i="65"/>
  <c r="P234" i="65"/>
  <c r="P243" i="65"/>
  <c r="P229" i="65"/>
  <c r="P231" i="65"/>
  <c r="P242" i="65"/>
  <c r="P240" i="65"/>
  <c r="P238" i="65"/>
  <c r="P227" i="65"/>
  <c r="P246" i="65"/>
  <c r="P245" i="65"/>
  <c r="P241" i="65"/>
  <c r="P239" i="65"/>
  <c r="P237" i="65"/>
  <c r="P236" i="65"/>
  <c r="P235" i="65"/>
  <c r="P232" i="65"/>
  <c r="P247" i="65"/>
  <c r="X224" i="65"/>
  <c r="X225" i="65"/>
  <c r="X233" i="65"/>
  <c r="X226" i="65"/>
  <c r="X228" i="65"/>
  <c r="X230" i="65"/>
  <c r="X234" i="65"/>
  <c r="X232" i="65"/>
  <c r="X243" i="65"/>
  <c r="X242" i="65"/>
  <c r="X240" i="65"/>
  <c r="X238" i="65"/>
  <c r="X229" i="65"/>
  <c r="X231" i="65"/>
  <c r="X247" i="65"/>
  <c r="X246" i="65"/>
  <c r="X245" i="65"/>
  <c r="X241" i="65"/>
  <c r="X239" i="65"/>
  <c r="X227" i="65"/>
  <c r="X237" i="65"/>
  <c r="X236" i="65"/>
  <c r="X235" i="65"/>
  <c r="AD226" i="65"/>
  <c r="AD231" i="65"/>
  <c r="AD247" i="65"/>
  <c r="AD224" i="65"/>
  <c r="AD225" i="65"/>
  <c r="AD227" i="65"/>
  <c r="AD229" i="65"/>
  <c r="AD232" i="65"/>
  <c r="AD228" i="65"/>
  <c r="AD233" i="65"/>
  <c r="AD246" i="65"/>
  <c r="AD234" i="65"/>
  <c r="AD245" i="65"/>
  <c r="AD241" i="65"/>
  <c r="AD239" i="65"/>
  <c r="AD243" i="65"/>
  <c r="AD230" i="65"/>
  <c r="AD242" i="65"/>
  <c r="AD240" i="65"/>
  <c r="AD238" i="65"/>
  <c r="AD237" i="65"/>
  <c r="AD236" i="65"/>
  <c r="AD235" i="65"/>
  <c r="BI225" i="65"/>
  <c r="BI230" i="65"/>
  <c r="BI224" i="65"/>
  <c r="BI226" i="65"/>
  <c r="BI233" i="65"/>
  <c r="BI245" i="65"/>
  <c r="BI238" i="65"/>
  <c r="BI229" i="65"/>
  <c r="BI232" i="65"/>
  <c r="BI236" i="65"/>
  <c r="BI241" i="65"/>
  <c r="BI239" i="65"/>
  <c r="BH224" i="65"/>
  <c r="BH226" i="65"/>
  <c r="BH228" i="65"/>
  <c r="BH231" i="65"/>
  <c r="BH247" i="65"/>
  <c r="BH232" i="65"/>
  <c r="BH234" i="65"/>
  <c r="BH246" i="65"/>
  <c r="BH241" i="65"/>
  <c r="BH239" i="65"/>
  <c r="BH237" i="65"/>
  <c r="BH229" i="65"/>
  <c r="BH245" i="65"/>
  <c r="BH227" i="65"/>
  <c r="BH230" i="65"/>
  <c r="BH243" i="65"/>
  <c r="BH240" i="65"/>
  <c r="BH238" i="65"/>
  <c r="BH236" i="65"/>
  <c r="BH235" i="65"/>
  <c r="BH242" i="65"/>
  <c r="BH225" i="65"/>
  <c r="BH233" i="65"/>
  <c r="BB225" i="65"/>
  <c r="BB227" i="65"/>
  <c r="BB229" i="65"/>
  <c r="BB233" i="65"/>
  <c r="BB230" i="65"/>
  <c r="BB243" i="65"/>
  <c r="BB240" i="65"/>
  <c r="BB238" i="65"/>
  <c r="BB231" i="65"/>
  <c r="BB242" i="65"/>
  <c r="BB226" i="65"/>
  <c r="BB246" i="65"/>
  <c r="BB241" i="65"/>
  <c r="BB239" i="65"/>
  <c r="BB237" i="65"/>
  <c r="BB228" i="65"/>
  <c r="BB232" i="65"/>
  <c r="BB245" i="65"/>
  <c r="BC10" i="65"/>
  <c r="BB259" i="65"/>
  <c r="BB250" i="65"/>
  <c r="BB252" i="65"/>
  <c r="BB254" i="65"/>
  <c r="BB255" i="65"/>
  <c r="BB251" i="65"/>
  <c r="BB258" i="65"/>
  <c r="BB253" i="65"/>
  <c r="BI250" i="65"/>
  <c r="BI255" i="65"/>
  <c r="BI248" i="65"/>
  <c r="BI253" i="65"/>
  <c r="BI258" i="65"/>
  <c r="BB299" i="65"/>
  <c r="AD251" i="65"/>
  <c r="AD253" i="65"/>
  <c r="AD255" i="65"/>
  <c r="AD258" i="65"/>
  <c r="AD248" i="65"/>
  <c r="AD249" i="65"/>
  <c r="AD250" i="65"/>
  <c r="AD252" i="65"/>
  <c r="AD254" i="65"/>
  <c r="AD259" i="65"/>
  <c r="X248" i="65"/>
  <c r="X249" i="65"/>
  <c r="X250" i="65"/>
  <c r="X252" i="65"/>
  <c r="X254" i="65"/>
  <c r="X259" i="65"/>
  <c r="X251" i="65"/>
  <c r="X253" i="65"/>
  <c r="X255" i="65"/>
  <c r="X258" i="65"/>
  <c r="P248" i="65"/>
  <c r="P249" i="65"/>
  <c r="P250" i="65"/>
  <c r="P252" i="65"/>
  <c r="P254" i="65"/>
  <c r="P259" i="65"/>
  <c r="P251" i="65"/>
  <c r="P253" i="65"/>
  <c r="P255" i="65"/>
  <c r="P258" i="65"/>
  <c r="BH255" i="65"/>
  <c r="BH248" i="65"/>
  <c r="BH249" i="65"/>
  <c r="BH251" i="65"/>
  <c r="BH253" i="65"/>
  <c r="BH258" i="65"/>
  <c r="BH259" i="65"/>
  <c r="BH252" i="65"/>
  <c r="BH254" i="65"/>
  <c r="BH250" i="65"/>
  <c r="P177" i="65"/>
  <c r="P171" i="65"/>
  <c r="P167" i="65"/>
  <c r="P178" i="65"/>
  <c r="P172" i="65"/>
  <c r="P168" i="65"/>
  <c r="P185" i="65"/>
  <c r="P184" i="65"/>
  <c r="P183" i="65"/>
  <c r="P182" i="65"/>
  <c r="P181" i="65"/>
  <c r="P179" i="65"/>
  <c r="P173" i="65"/>
  <c r="P169" i="65"/>
  <c r="P180" i="65"/>
  <c r="P158" i="65"/>
  <c r="P154" i="65"/>
  <c r="P166" i="65"/>
  <c r="P165" i="65"/>
  <c r="P164" i="65"/>
  <c r="P163" i="65"/>
  <c r="P162" i="65"/>
  <c r="P161" i="65"/>
  <c r="P160" i="65"/>
  <c r="P157" i="65"/>
  <c r="P153" i="65"/>
  <c r="P159" i="65"/>
  <c r="P170" i="65"/>
  <c r="P156" i="65"/>
  <c r="P152" i="65"/>
  <c r="P176" i="65"/>
  <c r="P155" i="65"/>
  <c r="AD185" i="65"/>
  <c r="AD184" i="65"/>
  <c r="AD183" i="65"/>
  <c r="AD182" i="65"/>
  <c r="AD181" i="65"/>
  <c r="AD180" i="65"/>
  <c r="AD179" i="65"/>
  <c r="AD178" i="65"/>
  <c r="AD177" i="65"/>
  <c r="AD176" i="65"/>
  <c r="AD173" i="65"/>
  <c r="AD172" i="65"/>
  <c r="AD171" i="65"/>
  <c r="AD170" i="65"/>
  <c r="AD169" i="65"/>
  <c r="AD168" i="65"/>
  <c r="AD167" i="65"/>
  <c r="AD166" i="65"/>
  <c r="AD165" i="65"/>
  <c r="AD164" i="65"/>
  <c r="AD163" i="65"/>
  <c r="AD162" i="65"/>
  <c r="AD161" i="65"/>
  <c r="AD160" i="65"/>
  <c r="AD159" i="65"/>
  <c r="AD155" i="65"/>
  <c r="AD158" i="65"/>
  <c r="AD154" i="65"/>
  <c r="AD152" i="65"/>
  <c r="AD157" i="65"/>
  <c r="AD153" i="65"/>
  <c r="AD156" i="65"/>
  <c r="X179" i="65"/>
  <c r="X173" i="65"/>
  <c r="X169" i="65"/>
  <c r="X185" i="65"/>
  <c r="X184" i="65"/>
  <c r="X183" i="65"/>
  <c r="X182" i="65"/>
  <c r="X181" i="65"/>
  <c r="X180" i="65"/>
  <c r="X176" i="65"/>
  <c r="X170" i="65"/>
  <c r="X177" i="65"/>
  <c r="X171" i="65"/>
  <c r="X167" i="65"/>
  <c r="X178" i="65"/>
  <c r="X166" i="65"/>
  <c r="X165" i="65"/>
  <c r="X164" i="65"/>
  <c r="X163" i="65"/>
  <c r="X162" i="65"/>
  <c r="X161" i="65"/>
  <c r="X160" i="65"/>
  <c r="X159" i="65"/>
  <c r="X155" i="65"/>
  <c r="X158" i="65"/>
  <c r="X154" i="65"/>
  <c r="X172" i="65"/>
  <c r="X152" i="65"/>
  <c r="X168" i="65"/>
  <c r="X157" i="65"/>
  <c r="X153" i="65"/>
  <c r="X156" i="65"/>
  <c r="V12" i="65"/>
  <c r="AC151" i="65"/>
  <c r="N12" i="65"/>
  <c r="O151" i="65"/>
  <c r="T12" i="65"/>
  <c r="W151" i="65"/>
  <c r="AB12" i="65"/>
  <c r="AD150" i="65"/>
  <c r="AD149" i="65"/>
  <c r="AD148" i="65"/>
  <c r="AD147" i="65"/>
  <c r="AD146" i="65"/>
  <c r="AD145" i="65"/>
  <c r="AD144" i="65"/>
  <c r="AD143" i="65"/>
  <c r="AD142" i="65"/>
  <c r="AD141" i="65"/>
  <c r="AD140" i="65"/>
  <c r="AD138" i="65"/>
  <c r="AD139" i="65"/>
  <c r="AD136" i="65"/>
  <c r="AD135" i="65"/>
  <c r="AD134" i="65"/>
  <c r="AD133" i="65"/>
  <c r="AD132" i="65"/>
  <c r="AD131" i="65"/>
  <c r="AD130" i="65"/>
  <c r="AD129" i="65"/>
  <c r="AD128" i="65"/>
  <c r="AD127" i="65"/>
  <c r="AD126" i="65"/>
  <c r="AD125" i="65"/>
  <c r="AD124" i="65"/>
  <c r="AD123" i="65"/>
  <c r="AD122" i="65"/>
  <c r="AD120" i="65"/>
  <c r="AD119" i="65"/>
  <c r="AD118" i="65"/>
  <c r="AD117" i="65"/>
  <c r="AD116" i="65"/>
  <c r="AD115" i="65"/>
  <c r="AD114" i="65"/>
  <c r="AD113" i="65"/>
  <c r="AD112" i="65"/>
  <c r="AD111" i="65"/>
  <c r="AD137" i="65"/>
  <c r="AD110" i="65"/>
  <c r="AD108" i="65"/>
  <c r="AD107" i="65"/>
  <c r="AD106" i="65"/>
  <c r="AD105" i="65"/>
  <c r="AD104" i="65"/>
  <c r="AD103" i="65"/>
  <c r="AD102" i="65"/>
  <c r="AD101" i="65"/>
  <c r="AD100" i="65"/>
  <c r="AD99" i="65"/>
  <c r="AD109" i="65"/>
  <c r="P137" i="65"/>
  <c r="P111" i="65"/>
  <c r="P138" i="65"/>
  <c r="P147" i="65"/>
  <c r="P143" i="65"/>
  <c r="P130" i="65"/>
  <c r="P126" i="65"/>
  <c r="P122" i="65"/>
  <c r="P117" i="65"/>
  <c r="P113" i="65"/>
  <c r="P150" i="65"/>
  <c r="P146" i="65"/>
  <c r="P142" i="65"/>
  <c r="P131" i="65"/>
  <c r="P127" i="65"/>
  <c r="P123" i="65"/>
  <c r="P118" i="65"/>
  <c r="P114" i="65"/>
  <c r="P134" i="65"/>
  <c r="P129" i="65"/>
  <c r="P120" i="65"/>
  <c r="P149" i="65"/>
  <c r="P144" i="65"/>
  <c r="P141" i="65"/>
  <c r="P139" i="65"/>
  <c r="P128" i="65"/>
  <c r="P119" i="65"/>
  <c r="P109" i="65"/>
  <c r="P108" i="65"/>
  <c r="P107" i="65"/>
  <c r="P106" i="65"/>
  <c r="P105" i="65"/>
  <c r="P104" i="65"/>
  <c r="P103" i="65"/>
  <c r="P136" i="65"/>
  <c r="P133" i="65"/>
  <c r="P125" i="65"/>
  <c r="P116" i="65"/>
  <c r="P110" i="65"/>
  <c r="P148" i="65"/>
  <c r="P145" i="65"/>
  <c r="P140" i="65"/>
  <c r="P135" i="65"/>
  <c r="P132" i="65"/>
  <c r="P124" i="65"/>
  <c r="P115" i="65"/>
  <c r="P112" i="65"/>
  <c r="P102" i="65"/>
  <c r="P101" i="65"/>
  <c r="P100" i="65"/>
  <c r="P99" i="65"/>
  <c r="AC121" i="65"/>
  <c r="X138" i="65"/>
  <c r="X147" i="65"/>
  <c r="X143" i="65"/>
  <c r="X132" i="65"/>
  <c r="X128" i="65"/>
  <c r="X124" i="65"/>
  <c r="X119" i="65"/>
  <c r="X115" i="65"/>
  <c r="X111" i="65"/>
  <c r="X150" i="65"/>
  <c r="X146" i="65"/>
  <c r="X142" i="65"/>
  <c r="X139" i="65"/>
  <c r="X136" i="65"/>
  <c r="X135" i="65"/>
  <c r="X134" i="65"/>
  <c r="X133" i="65"/>
  <c r="X129" i="65"/>
  <c r="X125" i="65"/>
  <c r="X120" i="65"/>
  <c r="X116" i="65"/>
  <c r="X148" i="65"/>
  <c r="X140" i="65"/>
  <c r="X127" i="65"/>
  <c r="X118" i="65"/>
  <c r="X149" i="65"/>
  <c r="X141" i="65"/>
  <c r="X126" i="65"/>
  <c r="X117" i="65"/>
  <c r="X109" i="65"/>
  <c r="X108" i="65"/>
  <c r="X107" i="65"/>
  <c r="X106" i="65"/>
  <c r="X105" i="65"/>
  <c r="X104" i="65"/>
  <c r="X103" i="65"/>
  <c r="X144" i="65"/>
  <c r="X137" i="65"/>
  <c r="X131" i="65"/>
  <c r="X123" i="65"/>
  <c r="X114" i="65"/>
  <c r="X112" i="65"/>
  <c r="X145" i="65"/>
  <c r="X130" i="65"/>
  <c r="X122" i="65"/>
  <c r="X113" i="65"/>
  <c r="X110" i="65"/>
  <c r="X102" i="65"/>
  <c r="X101" i="65"/>
  <c r="X100" i="65"/>
  <c r="X99" i="65"/>
  <c r="W121" i="65"/>
  <c r="O121" i="65"/>
  <c r="AD98" i="65"/>
  <c r="AD46" i="65"/>
  <c r="AD47" i="65"/>
  <c r="AD48" i="65"/>
  <c r="AD49" i="65"/>
  <c r="AD50" i="65"/>
  <c r="AD51" i="65"/>
  <c r="AD52" i="65"/>
  <c r="AD53" i="65"/>
  <c r="AD54" i="65"/>
  <c r="AD55" i="65"/>
  <c r="AD56" i="65"/>
  <c r="AD57" i="65"/>
  <c r="AD58" i="65"/>
  <c r="AD59" i="65"/>
  <c r="AD60" i="65"/>
  <c r="AD61" i="65"/>
  <c r="AD190" i="65"/>
  <c r="AD189" i="65"/>
  <c r="AD188" i="65"/>
  <c r="AD187" i="65"/>
  <c r="AD97" i="65"/>
  <c r="AD62" i="65"/>
  <c r="AD66" i="65"/>
  <c r="AD70" i="65"/>
  <c r="AD74" i="65"/>
  <c r="AD77" i="65"/>
  <c r="AD78" i="65"/>
  <c r="AD79" i="65"/>
  <c r="AD80" i="65"/>
  <c r="AD81" i="65"/>
  <c r="AD82" i="65"/>
  <c r="AD83" i="65"/>
  <c r="AD84" i="65"/>
  <c r="AD85" i="65"/>
  <c r="AD86" i="65"/>
  <c r="AD87" i="65"/>
  <c r="AD88" i="65"/>
  <c r="AD89" i="65"/>
  <c r="AD90" i="65"/>
  <c r="AD91" i="65"/>
  <c r="AD92" i="65"/>
  <c r="AD93" i="65"/>
  <c r="AD94" i="65"/>
  <c r="AD95" i="65"/>
  <c r="AD63" i="65"/>
  <c r="AD67" i="65"/>
  <c r="AD71" i="65"/>
  <c r="AD75" i="65"/>
  <c r="AD65" i="65"/>
  <c r="AD69" i="65"/>
  <c r="AD73" i="65"/>
  <c r="AD64" i="65"/>
  <c r="AD68" i="65"/>
  <c r="AD72" i="65"/>
  <c r="AD76" i="65"/>
  <c r="X98" i="65"/>
  <c r="X190" i="65"/>
  <c r="X189" i="65"/>
  <c r="X188" i="65"/>
  <c r="X187" i="65"/>
  <c r="X97" i="65"/>
  <c r="X62" i="65"/>
  <c r="X63" i="65"/>
  <c r="X64" i="65"/>
  <c r="X65" i="65"/>
  <c r="X66" i="65"/>
  <c r="X67" i="65"/>
  <c r="X68" i="65"/>
  <c r="X69" i="65"/>
  <c r="X70" i="65"/>
  <c r="X71" i="65"/>
  <c r="X72" i="65"/>
  <c r="X73" i="65"/>
  <c r="X74" i="65"/>
  <c r="X75" i="65"/>
  <c r="X76" i="65"/>
  <c r="X46" i="65"/>
  <c r="X77" i="65"/>
  <c r="X78" i="65"/>
  <c r="X82" i="65"/>
  <c r="X83" i="65"/>
  <c r="X85" i="65"/>
  <c r="X86" i="65"/>
  <c r="X88" i="65"/>
  <c r="X90" i="65"/>
  <c r="X92" i="65"/>
  <c r="X94" i="65"/>
  <c r="X95" i="65"/>
  <c r="X48" i="65"/>
  <c r="X47" i="65"/>
  <c r="X49" i="65"/>
  <c r="X51" i="65"/>
  <c r="X53" i="65"/>
  <c r="X55" i="65"/>
  <c r="X57" i="65"/>
  <c r="X59" i="65"/>
  <c r="X61" i="65"/>
  <c r="X79" i="65"/>
  <c r="X80" i="65"/>
  <c r="X81" i="65"/>
  <c r="X84" i="65"/>
  <c r="X87" i="65"/>
  <c r="X89" i="65"/>
  <c r="X91" i="65"/>
  <c r="X93" i="65"/>
  <c r="X50" i="65"/>
  <c r="X52" i="65"/>
  <c r="X54" i="65"/>
  <c r="X56" i="65"/>
  <c r="X58" i="65"/>
  <c r="X60" i="65"/>
  <c r="P98" i="65"/>
  <c r="P190" i="65"/>
  <c r="P189" i="65"/>
  <c r="P188" i="65"/>
  <c r="P187" i="65"/>
  <c r="P97" i="65"/>
  <c r="P63" i="65"/>
  <c r="P64" i="65"/>
  <c r="P65" i="65"/>
  <c r="P66" i="65"/>
  <c r="P67" i="65"/>
  <c r="P68" i="65"/>
  <c r="P69" i="65"/>
  <c r="P70" i="65"/>
  <c r="P71" i="65"/>
  <c r="P72" i="65"/>
  <c r="P73" i="65"/>
  <c r="P74" i="65"/>
  <c r="P75" i="65"/>
  <c r="P76" i="65"/>
  <c r="P77" i="65"/>
  <c r="P46" i="65"/>
  <c r="P47" i="65"/>
  <c r="P49" i="65"/>
  <c r="P51" i="65"/>
  <c r="P53" i="65"/>
  <c r="P55" i="65"/>
  <c r="P57" i="65"/>
  <c r="P59" i="65"/>
  <c r="P61" i="65"/>
  <c r="P48" i="65"/>
  <c r="P50" i="65"/>
  <c r="P56" i="65"/>
  <c r="P78" i="65"/>
  <c r="P82" i="65"/>
  <c r="P83" i="65"/>
  <c r="P85" i="65"/>
  <c r="P86" i="65"/>
  <c r="P88" i="65"/>
  <c r="P90" i="65"/>
  <c r="P92" i="65"/>
  <c r="P94" i="65"/>
  <c r="P95" i="65"/>
  <c r="P52" i="65"/>
  <c r="P54" i="65"/>
  <c r="P58" i="65"/>
  <c r="P60" i="65"/>
  <c r="P62" i="65"/>
  <c r="P79" i="65"/>
  <c r="P80" i="65"/>
  <c r="P81" i="65"/>
  <c r="P84" i="65"/>
  <c r="P87" i="65"/>
  <c r="P89" i="65"/>
  <c r="P91" i="65"/>
  <c r="P93" i="65"/>
  <c r="O96" i="65"/>
  <c r="AC96" i="65"/>
  <c r="W96" i="65"/>
  <c r="BI189" i="65"/>
  <c r="BI123" i="65"/>
  <c r="BI186" i="65"/>
  <c r="BI96" i="65"/>
  <c r="BI122" i="65"/>
  <c r="BI98" i="65"/>
  <c r="O13" i="65"/>
  <c r="W13" i="65"/>
  <c r="BA12" i="65"/>
  <c r="AC13" i="65"/>
  <c r="X18" i="65"/>
  <c r="X22" i="65"/>
  <c r="X26" i="65"/>
  <c r="X30" i="65"/>
  <c r="X34" i="65"/>
  <c r="X38" i="65"/>
  <c r="X42" i="65"/>
  <c r="X17" i="65"/>
  <c r="X21" i="65"/>
  <c r="X25" i="65"/>
  <c r="X29" i="65"/>
  <c r="X33" i="65"/>
  <c r="X37" i="65"/>
  <c r="X41" i="65"/>
  <c r="X45" i="65"/>
  <c r="X19" i="65"/>
  <c r="X20" i="65"/>
  <c r="X23" i="65"/>
  <c r="X24" i="65"/>
  <c r="X27" i="65"/>
  <c r="X28" i="65"/>
  <c r="X31" i="65"/>
  <c r="X32" i="65"/>
  <c r="X35" i="65"/>
  <c r="X36" i="65"/>
  <c r="X39" i="65"/>
  <c r="X40" i="65"/>
  <c r="X43" i="65"/>
  <c r="X44" i="65"/>
  <c r="AD20" i="65"/>
  <c r="AD24" i="65"/>
  <c r="AD28" i="65"/>
  <c r="AD32" i="65"/>
  <c r="AD36" i="65"/>
  <c r="AD40" i="65"/>
  <c r="AD44" i="65"/>
  <c r="AD18" i="65"/>
  <c r="AD19" i="65"/>
  <c r="AD22" i="65"/>
  <c r="AD23" i="65"/>
  <c r="AD26" i="65"/>
  <c r="AD27" i="65"/>
  <c r="AD30" i="65"/>
  <c r="AD31" i="65"/>
  <c r="AD34" i="65"/>
  <c r="AD35" i="65"/>
  <c r="AD38" i="65"/>
  <c r="AD39" i="65"/>
  <c r="AD42" i="65"/>
  <c r="AD43" i="65"/>
  <c r="AD17" i="65"/>
  <c r="AD21" i="65"/>
  <c r="AD25" i="65"/>
  <c r="AD29" i="65"/>
  <c r="AD33" i="65"/>
  <c r="AD37" i="65"/>
  <c r="AD41" i="65"/>
  <c r="AD45" i="65"/>
  <c r="AD16" i="65"/>
  <c r="Q10" i="65"/>
  <c r="BI152" i="65"/>
  <c r="BI190" i="65"/>
  <c r="P42" i="65"/>
  <c r="P43" i="65"/>
  <c r="P40" i="65"/>
  <c r="P36" i="65"/>
  <c r="P44" i="65"/>
  <c r="P39" i="65"/>
  <c r="P35" i="65"/>
  <c r="P33" i="65"/>
  <c r="P37" i="65"/>
  <c r="P28" i="65"/>
  <c r="P23" i="65"/>
  <c r="P41" i="65"/>
  <c r="P38" i="65"/>
  <c r="P32" i="65"/>
  <c r="P31" i="65"/>
  <c r="P27" i="65"/>
  <c r="P22" i="65"/>
  <c r="P17" i="65"/>
  <c r="P45" i="65"/>
  <c r="P30" i="65"/>
  <c r="P26" i="65"/>
  <c r="P21" i="65"/>
  <c r="P20" i="65"/>
  <c r="P18" i="65"/>
  <c r="P24" i="65"/>
  <c r="P16" i="65"/>
  <c r="P25" i="65"/>
  <c r="P29" i="65"/>
  <c r="P19" i="65"/>
  <c r="P34" i="65"/>
  <c r="X16" i="65"/>
  <c r="BG12" i="65"/>
  <c r="Y10" i="65"/>
  <c r="AE10" i="65"/>
  <c r="BI187" i="65" l="1"/>
  <c r="BI99" i="65"/>
  <c r="BI97" i="65"/>
  <c r="BJ10" i="65"/>
  <c r="BJ276" i="65" s="1"/>
  <c r="BI251" i="65"/>
  <c r="BI254" i="65"/>
  <c r="BI227" i="65"/>
  <c r="BI242" i="65"/>
  <c r="BI240" i="65"/>
  <c r="BI231" i="65"/>
  <c r="BI246" i="65"/>
  <c r="BI191" i="65"/>
  <c r="BI199" i="65"/>
  <c r="BI195" i="65"/>
  <c r="BI205" i="65"/>
  <c r="BI200" i="65"/>
  <c r="BI216" i="65"/>
  <c r="BI217" i="65"/>
  <c r="BI275" i="65"/>
  <c r="BI296" i="65"/>
  <c r="BI264" i="65"/>
  <c r="BI260" i="65"/>
  <c r="BI298" i="65"/>
  <c r="BI271" i="65"/>
  <c r="BI266" i="65"/>
  <c r="BI282" i="65"/>
  <c r="BI286" i="65"/>
  <c r="BI256" i="65"/>
  <c r="BI121" i="65"/>
  <c r="BI151" i="65"/>
  <c r="BI299" i="65"/>
  <c r="BI188" i="65"/>
  <c r="BI259" i="65"/>
  <c r="BI249" i="65"/>
  <c r="BI252" i="65"/>
  <c r="BI237" i="65"/>
  <c r="BI235" i="65"/>
  <c r="BI247" i="65"/>
  <c r="BI243" i="65"/>
  <c r="BI228" i="65"/>
  <c r="BI234" i="65"/>
  <c r="BI218" i="65"/>
  <c r="BI192" i="65"/>
  <c r="BI203" i="65"/>
  <c r="BI198" i="65"/>
  <c r="BI210" i="65"/>
  <c r="BI221" i="65"/>
  <c r="BI214" i="65"/>
  <c r="BI207" i="65"/>
  <c r="BI274" i="65"/>
  <c r="BI289" i="65"/>
  <c r="BI287" i="65"/>
  <c r="BI285" i="65"/>
  <c r="BI297" i="65"/>
  <c r="BI267" i="65"/>
  <c r="BI283" i="65"/>
  <c r="BI280" i="65"/>
  <c r="BI290" i="65"/>
  <c r="BC292" i="65"/>
  <c r="BC291" i="65"/>
  <c r="BC256" i="65"/>
  <c r="BC244" i="65"/>
  <c r="BC257" i="65"/>
  <c r="Q292" i="65"/>
  <c r="Q291" i="65"/>
  <c r="Q257" i="65"/>
  <c r="Q244" i="65"/>
  <c r="Q256" i="65"/>
  <c r="P186" i="65"/>
  <c r="X186" i="65"/>
  <c r="AD186" i="65"/>
  <c r="AE256" i="65"/>
  <c r="AE292" i="65"/>
  <c r="AE291" i="65"/>
  <c r="AE257" i="65"/>
  <c r="AE244" i="65"/>
  <c r="Y292" i="65"/>
  <c r="Y291" i="65"/>
  <c r="Y257" i="65"/>
  <c r="Y244" i="65"/>
  <c r="Y256" i="65"/>
  <c r="AE295" i="65"/>
  <c r="AE287" i="65"/>
  <c r="AE285" i="65"/>
  <c r="AE296" i="65"/>
  <c r="AE288" i="65"/>
  <c r="AE297" i="65"/>
  <c r="AE289" i="65"/>
  <c r="AE290" i="65"/>
  <c r="AE283" i="65"/>
  <c r="AE279" i="65"/>
  <c r="AE294" i="65"/>
  <c r="AE284" i="65"/>
  <c r="AE282" i="65"/>
  <c r="AE280" i="65"/>
  <c r="AE278" i="65"/>
  <c r="AE277" i="65"/>
  <c r="AE276" i="65"/>
  <c r="AE266" i="65"/>
  <c r="AE264" i="65"/>
  <c r="AE263" i="65"/>
  <c r="AE260" i="65"/>
  <c r="AE271" i="65"/>
  <c r="AE281" i="65"/>
  <c r="AE267" i="65"/>
  <c r="AE298" i="65"/>
  <c r="AE293" i="65"/>
  <c r="AE286" i="65"/>
  <c r="AE265" i="65"/>
  <c r="AE269" i="65"/>
  <c r="AE270" i="65"/>
  <c r="AE268" i="65"/>
  <c r="AE262" i="65"/>
  <c r="AE261" i="65"/>
  <c r="Q297" i="65"/>
  <c r="Q289" i="65"/>
  <c r="Q298" i="65"/>
  <c r="Q294" i="65"/>
  <c r="Q293" i="65"/>
  <c r="Q290" i="65"/>
  <c r="Q286" i="65"/>
  <c r="Q295" i="65"/>
  <c r="Q287" i="65"/>
  <c r="Q285" i="65"/>
  <c r="Q278" i="65"/>
  <c r="Q277" i="65"/>
  <c r="Q276" i="65"/>
  <c r="Q288" i="65"/>
  <c r="Q281" i="65"/>
  <c r="Q263" i="65"/>
  <c r="Q283" i="65"/>
  <c r="Q279" i="65"/>
  <c r="Q262" i="65"/>
  <c r="Q260" i="65"/>
  <c r="Q284" i="65"/>
  <c r="Q282" i="65"/>
  <c r="Q269" i="65"/>
  <c r="Q296" i="65"/>
  <c r="Q280" i="65"/>
  <c r="Q261" i="65"/>
  <c r="Q271" i="65"/>
  <c r="Q264" i="65"/>
  <c r="Q270" i="65"/>
  <c r="Q265" i="65"/>
  <c r="Q267" i="65"/>
  <c r="Q266" i="65"/>
  <c r="Q268" i="65"/>
  <c r="Y297" i="65"/>
  <c r="Y289" i="65"/>
  <c r="Y298" i="65"/>
  <c r="Y294" i="65"/>
  <c r="Y293" i="65"/>
  <c r="Y290" i="65"/>
  <c r="Y286" i="65"/>
  <c r="Y295" i="65"/>
  <c r="Y287" i="65"/>
  <c r="Y285" i="65"/>
  <c r="Y296" i="65"/>
  <c r="Y278" i="65"/>
  <c r="Y277" i="65"/>
  <c r="Y276" i="65"/>
  <c r="Y281" i="65"/>
  <c r="Y263" i="65"/>
  <c r="Y288" i="65"/>
  <c r="Y283" i="65"/>
  <c r="Y279" i="65"/>
  <c r="Y262" i="65"/>
  <c r="Y260" i="65"/>
  <c r="Y266" i="65"/>
  <c r="Y269" i="65"/>
  <c r="Y284" i="65"/>
  <c r="Y282" i="65"/>
  <c r="Y267" i="65"/>
  <c r="Y280" i="65"/>
  <c r="Y264" i="65"/>
  <c r="Y271" i="65"/>
  <c r="Y261" i="65"/>
  <c r="Y270" i="65"/>
  <c r="Y265" i="65"/>
  <c r="Y268" i="65"/>
  <c r="BC297" i="65"/>
  <c r="BC290" i="65"/>
  <c r="BC298" i="65"/>
  <c r="BC294" i="65"/>
  <c r="BC286" i="65"/>
  <c r="BC263" i="65"/>
  <c r="BC284" i="65"/>
  <c r="BC283" i="65"/>
  <c r="BC280" i="65"/>
  <c r="BC279" i="65"/>
  <c r="BC262" i="65"/>
  <c r="BC282" i="65"/>
  <c r="BC266" i="65"/>
  <c r="BC296" i="65"/>
  <c r="BC270" i="65"/>
  <c r="BC278" i="65"/>
  <c r="BC267" i="65"/>
  <c r="BC271" i="65"/>
  <c r="BC261" i="65"/>
  <c r="BC269" i="65"/>
  <c r="BC277" i="65"/>
  <c r="BC293" i="65"/>
  <c r="BC264" i="65"/>
  <c r="BC285" i="65"/>
  <c r="BC265" i="65"/>
  <c r="BC268" i="65"/>
  <c r="BC260" i="65"/>
  <c r="BC295" i="65"/>
  <c r="BC281" i="65"/>
  <c r="BC289" i="65"/>
  <c r="BJ286" i="65"/>
  <c r="BJ262" i="65"/>
  <c r="BJ285" i="65"/>
  <c r="BH12" i="65"/>
  <c r="BB12" i="65"/>
  <c r="AE273" i="65"/>
  <c r="AE272" i="65"/>
  <c r="AE274" i="65"/>
  <c r="AE275" i="65"/>
  <c r="BC275" i="65"/>
  <c r="BC272" i="65"/>
  <c r="BC273" i="65"/>
  <c r="BC274" i="65"/>
  <c r="Q275" i="65"/>
  <c r="Q274" i="65"/>
  <c r="Q272" i="65"/>
  <c r="Q273" i="65"/>
  <c r="Y275" i="65"/>
  <c r="Y272" i="65"/>
  <c r="Y273" i="65"/>
  <c r="Y274" i="65"/>
  <c r="AE222" i="65"/>
  <c r="AE213" i="65"/>
  <c r="AE223" i="65"/>
  <c r="AE212" i="65"/>
  <c r="AE209" i="65"/>
  <c r="AE207" i="65"/>
  <c r="AE174" i="65"/>
  <c r="AE217" i="65"/>
  <c r="AE216" i="65"/>
  <c r="AE215" i="65"/>
  <c r="AE211" i="65"/>
  <c r="AE214" i="65"/>
  <c r="AE201" i="65"/>
  <c r="AE210" i="65"/>
  <c r="AE208" i="65"/>
  <c r="AE205" i="65"/>
  <c r="AE204" i="65"/>
  <c r="AE203" i="65"/>
  <c r="AE199" i="65"/>
  <c r="AE198" i="65"/>
  <c r="AE219" i="65"/>
  <c r="AE175" i="65"/>
  <c r="AE221" i="65"/>
  <c r="AE220" i="65"/>
  <c r="AE218" i="65"/>
  <c r="AE197" i="65"/>
  <c r="AE194" i="65"/>
  <c r="AE195" i="65"/>
  <c r="AE193" i="65"/>
  <c r="AE192" i="65"/>
  <c r="AE191" i="65"/>
  <c r="AE206" i="65"/>
  <c r="AE202" i="65"/>
  <c r="AE200" i="65"/>
  <c r="AE196" i="65"/>
  <c r="BC211" i="65"/>
  <c r="BC208" i="65"/>
  <c r="BC206" i="65"/>
  <c r="BC214" i="65"/>
  <c r="BC210" i="65"/>
  <c r="BC213" i="65"/>
  <c r="BC212" i="65"/>
  <c r="BC209" i="65"/>
  <c r="BC199" i="65"/>
  <c r="BC217" i="65"/>
  <c r="BC202" i="65"/>
  <c r="BC198" i="65"/>
  <c r="BC197" i="65"/>
  <c r="BC207" i="65"/>
  <c r="BC205" i="65"/>
  <c r="BC218" i="65"/>
  <c r="BC194" i="65"/>
  <c r="BC201" i="65"/>
  <c r="BC219" i="65"/>
  <c r="BC196" i="65"/>
  <c r="BC200" i="65"/>
  <c r="BC221" i="65"/>
  <c r="BC195" i="65"/>
  <c r="BC193" i="65"/>
  <c r="BC220" i="65"/>
  <c r="Y174" i="65"/>
  <c r="Y217" i="65"/>
  <c r="Y216" i="65"/>
  <c r="Y215" i="65"/>
  <c r="Y211" i="65"/>
  <c r="Y175" i="65"/>
  <c r="Y214" i="65"/>
  <c r="Y210" i="65"/>
  <c r="Y208" i="65"/>
  <c r="Y206" i="65"/>
  <c r="Y222" i="65"/>
  <c r="Y213" i="65"/>
  <c r="Y223" i="65"/>
  <c r="Y212" i="65"/>
  <c r="Y209" i="65"/>
  <c r="Y205" i="65"/>
  <c r="Y204" i="65"/>
  <c r="Y203" i="65"/>
  <c r="Y199" i="65"/>
  <c r="Y207" i="65"/>
  <c r="Y201" i="65"/>
  <c r="Y198" i="65"/>
  <c r="Y221" i="65"/>
  <c r="Y220" i="65"/>
  <c r="Y197" i="65"/>
  <c r="Y219" i="65"/>
  <c r="Y202" i="65"/>
  <c r="Y218" i="65"/>
  <c r="Y194" i="65"/>
  <c r="Y196" i="65"/>
  <c r="Y191" i="65"/>
  <c r="Y200" i="65"/>
  <c r="Y195" i="65"/>
  <c r="Y193" i="65"/>
  <c r="Y192" i="65"/>
  <c r="BJ215" i="65"/>
  <c r="BJ220" i="65"/>
  <c r="Q175" i="65"/>
  <c r="Q217" i="65"/>
  <c r="Q216" i="65"/>
  <c r="Q215" i="65"/>
  <c r="Q211" i="65"/>
  <c r="Q222" i="65"/>
  <c r="Q214" i="65"/>
  <c r="Q210" i="65"/>
  <c r="Q208" i="65"/>
  <c r="Q206" i="65"/>
  <c r="Q223" i="65"/>
  <c r="Q213" i="65"/>
  <c r="Q174" i="65"/>
  <c r="Q207" i="65"/>
  <c r="Q205" i="65"/>
  <c r="Q204" i="65"/>
  <c r="Q203" i="65"/>
  <c r="Q199" i="65"/>
  <c r="Q202" i="65"/>
  <c r="Q201" i="65"/>
  <c r="Q200" i="65"/>
  <c r="Q221" i="65"/>
  <c r="Q209" i="65"/>
  <c r="Q198" i="65"/>
  <c r="Q196" i="65"/>
  <c r="Q194" i="65"/>
  <c r="Q218" i="65"/>
  <c r="Q191" i="65"/>
  <c r="Q220" i="65"/>
  <c r="Q219" i="65"/>
  <c r="Q197" i="65"/>
  <c r="Q212" i="65"/>
  <c r="Q195" i="65"/>
  <c r="Q193" i="65"/>
  <c r="Q192" i="65"/>
  <c r="AE226" i="65"/>
  <c r="AE228" i="65"/>
  <c r="AE230" i="65"/>
  <c r="AE234" i="65"/>
  <c r="AE231" i="65"/>
  <c r="AE224" i="65"/>
  <c r="AE245" i="65"/>
  <c r="AE241" i="65"/>
  <c r="AE239" i="65"/>
  <c r="AE237" i="65"/>
  <c r="AE236" i="65"/>
  <c r="AE235" i="65"/>
  <c r="AE225" i="65"/>
  <c r="AE229" i="65"/>
  <c r="AE233" i="65"/>
  <c r="AE243" i="65"/>
  <c r="AE227" i="65"/>
  <c r="AE242" i="65"/>
  <c r="AE240" i="65"/>
  <c r="AE238" i="65"/>
  <c r="AE247" i="65"/>
  <c r="AE232" i="65"/>
  <c r="AE246" i="65"/>
  <c r="Y224" i="65"/>
  <c r="Y225" i="65"/>
  <c r="Y227" i="65"/>
  <c r="Y229" i="65"/>
  <c r="Y232" i="65"/>
  <c r="Y233" i="65"/>
  <c r="Y247" i="65"/>
  <c r="Y228" i="65"/>
  <c r="Y242" i="65"/>
  <c r="Y240" i="65"/>
  <c r="Y238" i="65"/>
  <c r="Y226" i="65"/>
  <c r="Y234" i="65"/>
  <c r="Y246" i="65"/>
  <c r="Y245" i="65"/>
  <c r="Y241" i="65"/>
  <c r="Y239" i="65"/>
  <c r="Y237" i="65"/>
  <c r="Y236" i="65"/>
  <c r="Y235" i="65"/>
  <c r="Y231" i="65"/>
  <c r="Y243" i="65"/>
  <c r="Y230" i="65"/>
  <c r="BJ227" i="65"/>
  <c r="BJ241" i="65"/>
  <c r="BC226" i="65"/>
  <c r="BC232" i="65"/>
  <c r="BC225" i="65"/>
  <c r="BC227" i="65"/>
  <c r="BC229" i="65"/>
  <c r="BC233" i="65"/>
  <c r="BC247" i="65"/>
  <c r="BC228" i="65"/>
  <c r="BC234" i="65"/>
  <c r="BC242" i="65"/>
  <c r="BC246" i="65"/>
  <c r="BC241" i="65"/>
  <c r="BC239" i="65"/>
  <c r="BC237" i="65"/>
  <c r="BC230" i="65"/>
  <c r="BC231" i="65"/>
  <c r="BC245" i="65"/>
  <c r="BC243" i="65"/>
  <c r="BC240" i="65"/>
  <c r="BC238" i="65"/>
  <c r="Q224" i="65"/>
  <c r="Q225" i="65"/>
  <c r="Q227" i="65"/>
  <c r="Q229" i="65"/>
  <c r="Q232" i="65"/>
  <c r="Q233" i="65"/>
  <c r="Q247" i="65"/>
  <c r="Q234" i="65"/>
  <c r="Q242" i="65"/>
  <c r="Q240" i="65"/>
  <c r="Q238" i="65"/>
  <c r="Q246" i="65"/>
  <c r="Q226" i="65"/>
  <c r="Q230" i="65"/>
  <c r="Q231" i="65"/>
  <c r="Q245" i="65"/>
  <c r="Q241" i="65"/>
  <c r="Q239" i="65"/>
  <c r="Q237" i="65"/>
  <c r="Q236" i="65"/>
  <c r="Q235" i="65"/>
  <c r="Q228" i="65"/>
  <c r="Q243" i="65"/>
  <c r="AC12" i="65"/>
  <c r="AE251" i="65"/>
  <c r="AE253" i="65"/>
  <c r="AE255" i="65"/>
  <c r="AE258" i="65"/>
  <c r="AE248" i="65"/>
  <c r="AE250" i="65"/>
  <c r="AE252" i="65"/>
  <c r="AE259" i="65"/>
  <c r="AE254" i="65"/>
  <c r="AE249" i="65"/>
  <c r="BJ259" i="65"/>
  <c r="Y258" i="65"/>
  <c r="Y248" i="65"/>
  <c r="Y249" i="65"/>
  <c r="Y250" i="65"/>
  <c r="Y252" i="65"/>
  <c r="Y254" i="65"/>
  <c r="Y259" i="65"/>
  <c r="Y251" i="65"/>
  <c r="Y253" i="65"/>
  <c r="Y255" i="65"/>
  <c r="Q258" i="65"/>
  <c r="Q248" i="65"/>
  <c r="Q249" i="65"/>
  <c r="Q250" i="65"/>
  <c r="Q252" i="65"/>
  <c r="Q254" i="65"/>
  <c r="Q259" i="65"/>
  <c r="Q251" i="65"/>
  <c r="Q255" i="65"/>
  <c r="Q253" i="65"/>
  <c r="BC251" i="65"/>
  <c r="BC253" i="65"/>
  <c r="BC258" i="65"/>
  <c r="BC259" i="65"/>
  <c r="BC250" i="65"/>
  <c r="BC252" i="65"/>
  <c r="BC254" i="65"/>
  <c r="BC255" i="65"/>
  <c r="BC299" i="65"/>
  <c r="AE185" i="65"/>
  <c r="AE184" i="65"/>
  <c r="AE183" i="65"/>
  <c r="AE182" i="65"/>
  <c r="AE181" i="65"/>
  <c r="AE180" i="65"/>
  <c r="AE176" i="65"/>
  <c r="AE170" i="65"/>
  <c r="AE166" i="65"/>
  <c r="AE177" i="65"/>
  <c r="AE171" i="65"/>
  <c r="AE167" i="65"/>
  <c r="AE178" i="65"/>
  <c r="AE172" i="65"/>
  <c r="AE168" i="65"/>
  <c r="AE169" i="65"/>
  <c r="AE158" i="65"/>
  <c r="AE154" i="65"/>
  <c r="AE173" i="65"/>
  <c r="AE165" i="65"/>
  <c r="AE164" i="65"/>
  <c r="AE163" i="65"/>
  <c r="AE162" i="65"/>
  <c r="AE161" i="65"/>
  <c r="AE160" i="65"/>
  <c r="AE159" i="65"/>
  <c r="AE157" i="65"/>
  <c r="AE153" i="65"/>
  <c r="AE179" i="65"/>
  <c r="AE156" i="65"/>
  <c r="AE152" i="65"/>
  <c r="AE155" i="65"/>
  <c r="Y185" i="65"/>
  <c r="Y184" i="65"/>
  <c r="Y183" i="65"/>
  <c r="Y182" i="65"/>
  <c r="Y181" i="65"/>
  <c r="Y180" i="65"/>
  <c r="Y176" i="65"/>
  <c r="Y170" i="65"/>
  <c r="Y177" i="65"/>
  <c r="Y171" i="65"/>
  <c r="Y167" i="65"/>
  <c r="Y178" i="65"/>
  <c r="Y172" i="65"/>
  <c r="Y168" i="65"/>
  <c r="Y166" i="65"/>
  <c r="Y165" i="65"/>
  <c r="Y164" i="65"/>
  <c r="Y163" i="65"/>
  <c r="Y162" i="65"/>
  <c r="Y161" i="65"/>
  <c r="Y160" i="65"/>
  <c r="Y159" i="65"/>
  <c r="Y158" i="65"/>
  <c r="Y157" i="65"/>
  <c r="Y156" i="65"/>
  <c r="Y155" i="65"/>
  <c r="Y154" i="65"/>
  <c r="Y153" i="65"/>
  <c r="Y152" i="65"/>
  <c r="Y179" i="65"/>
  <c r="Y173" i="65"/>
  <c r="Y169" i="65"/>
  <c r="Q178" i="65"/>
  <c r="Q172" i="65"/>
  <c r="Q168" i="65"/>
  <c r="Q185" i="65"/>
  <c r="Q184" i="65"/>
  <c r="Q183" i="65"/>
  <c r="Q182" i="65"/>
  <c r="Q181" i="65"/>
  <c r="Q179" i="65"/>
  <c r="Q173" i="65"/>
  <c r="Q169" i="65"/>
  <c r="Q180" i="65"/>
  <c r="Q176" i="65"/>
  <c r="Q170" i="65"/>
  <c r="Q166" i="65"/>
  <c r="Q165" i="65"/>
  <c r="Q164" i="65"/>
  <c r="Q163" i="65"/>
  <c r="Q162" i="65"/>
  <c r="Q161" i="65"/>
  <c r="Q160" i="65"/>
  <c r="Q159" i="65"/>
  <c r="Q158" i="65"/>
  <c r="Q157" i="65"/>
  <c r="Q156" i="65"/>
  <c r="Q155" i="65"/>
  <c r="Q154" i="65"/>
  <c r="Q153" i="65"/>
  <c r="Q152" i="65"/>
  <c r="Q171" i="65"/>
  <c r="Q177" i="65"/>
  <c r="Q167" i="65"/>
  <c r="W12" i="65"/>
  <c r="AD151" i="65"/>
  <c r="P151" i="65"/>
  <c r="X151" i="65"/>
  <c r="BJ97" i="65"/>
  <c r="O12" i="65"/>
  <c r="P121" i="65"/>
  <c r="AE149" i="65"/>
  <c r="AE145" i="65"/>
  <c r="AE141" i="65"/>
  <c r="AE129" i="65"/>
  <c r="AE125" i="65"/>
  <c r="AE120" i="65"/>
  <c r="AE116" i="65"/>
  <c r="AE112" i="65"/>
  <c r="AE148" i="65"/>
  <c r="AE144" i="65"/>
  <c r="AE140" i="65"/>
  <c r="AE130" i="65"/>
  <c r="AE126" i="65"/>
  <c r="AE122" i="65"/>
  <c r="AE117" i="65"/>
  <c r="AE113" i="65"/>
  <c r="AE136" i="65"/>
  <c r="AE127" i="65"/>
  <c r="AE118" i="65"/>
  <c r="AE150" i="65"/>
  <c r="AE147" i="65"/>
  <c r="AE142" i="65"/>
  <c r="AE138" i="65"/>
  <c r="AE135" i="65"/>
  <c r="AE132" i="65"/>
  <c r="AE124" i="65"/>
  <c r="AE115" i="65"/>
  <c r="AE134" i="65"/>
  <c r="AE131" i="65"/>
  <c r="AE123" i="65"/>
  <c r="AE114" i="65"/>
  <c r="AE110" i="65"/>
  <c r="AE108" i="65"/>
  <c r="AE107" i="65"/>
  <c r="AE106" i="65"/>
  <c r="AE105" i="65"/>
  <c r="AE104" i="65"/>
  <c r="AE103" i="65"/>
  <c r="AE102" i="65"/>
  <c r="AE101" i="65"/>
  <c r="AE100" i="65"/>
  <c r="AE99" i="65"/>
  <c r="AE146" i="65"/>
  <c r="AE143" i="65"/>
  <c r="AE137" i="65"/>
  <c r="AE139" i="65"/>
  <c r="AE133" i="65"/>
  <c r="AE128" i="65"/>
  <c r="AE119" i="65"/>
  <c r="AE111" i="65"/>
  <c r="AE109" i="65"/>
  <c r="Q138" i="65"/>
  <c r="Q150" i="65"/>
  <c r="Q149" i="65"/>
  <c r="Q148" i="65"/>
  <c r="Q147" i="65"/>
  <c r="Q146" i="65"/>
  <c r="Q145" i="65"/>
  <c r="Q144" i="65"/>
  <c r="Q143" i="65"/>
  <c r="Q142" i="65"/>
  <c r="Q141" i="65"/>
  <c r="Q140" i="65"/>
  <c r="Q112" i="65"/>
  <c r="Q137" i="65"/>
  <c r="Q139" i="65"/>
  <c r="Q136" i="65"/>
  <c r="Q135" i="65"/>
  <c r="Q134" i="65"/>
  <c r="Q131" i="65"/>
  <c r="Q127" i="65"/>
  <c r="Q123" i="65"/>
  <c r="Q118" i="65"/>
  <c r="Q114" i="65"/>
  <c r="Q110" i="65"/>
  <c r="Q132" i="65"/>
  <c r="Q128" i="65"/>
  <c r="Q124" i="65"/>
  <c r="Q119" i="65"/>
  <c r="Q115" i="65"/>
  <c r="Q133" i="65"/>
  <c r="Q126" i="65"/>
  <c r="Q125" i="65"/>
  <c r="Q117" i="65"/>
  <c r="Q116" i="65"/>
  <c r="Q130" i="65"/>
  <c r="Q129" i="65"/>
  <c r="Q122" i="65"/>
  <c r="Q120" i="65"/>
  <c r="Q113" i="65"/>
  <c r="Q111" i="65"/>
  <c r="Q109" i="65"/>
  <c r="Q105" i="65"/>
  <c r="Q102" i="65"/>
  <c r="Q101" i="65"/>
  <c r="Q100" i="65"/>
  <c r="Q99" i="65"/>
  <c r="Q106" i="65"/>
  <c r="Q107" i="65"/>
  <c r="Q103" i="65"/>
  <c r="Q108" i="65"/>
  <c r="Q104" i="65"/>
  <c r="X121" i="65"/>
  <c r="Y137" i="65"/>
  <c r="Y150" i="65"/>
  <c r="Y149" i="65"/>
  <c r="Y148" i="65"/>
  <c r="Y147" i="65"/>
  <c r="Y146" i="65"/>
  <c r="Y145" i="65"/>
  <c r="Y144" i="65"/>
  <c r="Y143" i="65"/>
  <c r="Y142" i="65"/>
  <c r="Y141" i="65"/>
  <c r="Y140" i="65"/>
  <c r="Y111" i="65"/>
  <c r="Y139" i="65"/>
  <c r="Y136" i="65"/>
  <c r="Y135" i="65"/>
  <c r="Y134" i="65"/>
  <c r="Y133" i="65"/>
  <c r="Y138" i="65"/>
  <c r="Y129" i="65"/>
  <c r="Y125" i="65"/>
  <c r="Y120" i="65"/>
  <c r="Y116" i="65"/>
  <c r="Y112" i="65"/>
  <c r="Y110" i="65"/>
  <c r="Y130" i="65"/>
  <c r="Y126" i="65"/>
  <c r="Y122" i="65"/>
  <c r="Y117" i="65"/>
  <c r="Y113" i="65"/>
  <c r="Y131" i="65"/>
  <c r="Y128" i="65"/>
  <c r="Y123" i="65"/>
  <c r="Y119" i="65"/>
  <c r="Y114" i="65"/>
  <c r="Y132" i="65"/>
  <c r="Y127" i="65"/>
  <c r="Y124" i="65"/>
  <c r="Y118" i="65"/>
  <c r="Y115" i="65"/>
  <c r="Y108" i="65"/>
  <c r="Y104" i="65"/>
  <c r="Y109" i="65"/>
  <c r="Y105" i="65"/>
  <c r="Y106" i="65"/>
  <c r="Y107" i="65"/>
  <c r="Y103" i="65"/>
  <c r="Y102" i="65"/>
  <c r="Y101" i="65"/>
  <c r="Y100" i="65"/>
  <c r="Y99" i="65"/>
  <c r="AD121" i="65"/>
  <c r="AD96" i="65"/>
  <c r="AE98" i="65"/>
  <c r="AE190" i="65"/>
  <c r="AE189" i="65"/>
  <c r="AE188" i="65"/>
  <c r="AE187" i="65"/>
  <c r="AE97" i="65"/>
  <c r="AE46" i="65"/>
  <c r="AE63" i="65"/>
  <c r="AE67" i="65"/>
  <c r="AE71" i="65"/>
  <c r="AE75" i="65"/>
  <c r="AE65" i="65"/>
  <c r="AE73" i="65"/>
  <c r="AE47" i="65"/>
  <c r="AE49" i="65"/>
  <c r="AE51" i="65"/>
  <c r="AE53" i="65"/>
  <c r="AE64" i="65"/>
  <c r="AE68" i="65"/>
  <c r="AE72" i="65"/>
  <c r="AE76" i="65"/>
  <c r="AE48" i="65"/>
  <c r="AE50" i="65"/>
  <c r="AE52" i="65"/>
  <c r="AE54" i="65"/>
  <c r="AE56" i="65"/>
  <c r="AE58" i="65"/>
  <c r="AE60" i="65"/>
  <c r="AE62" i="65"/>
  <c r="AE66" i="65"/>
  <c r="AE70" i="65"/>
  <c r="AE74" i="65"/>
  <c r="AE77" i="65"/>
  <c r="AE78" i="65"/>
  <c r="AE79" i="65"/>
  <c r="AE80" i="65"/>
  <c r="AE81" i="65"/>
  <c r="AE82" i="65"/>
  <c r="AE83" i="65"/>
  <c r="AE84" i="65"/>
  <c r="AE85" i="65"/>
  <c r="AE86" i="65"/>
  <c r="AE87" i="65"/>
  <c r="AE88" i="65"/>
  <c r="AE89" i="65"/>
  <c r="AE90" i="65"/>
  <c r="AE91" i="65"/>
  <c r="AE92" i="65"/>
  <c r="AE93" i="65"/>
  <c r="AE94" i="65"/>
  <c r="AE95" i="65"/>
  <c r="AE69" i="65"/>
  <c r="AE55" i="65"/>
  <c r="AE57" i="65"/>
  <c r="AE59" i="65"/>
  <c r="AE61" i="65"/>
  <c r="Y98" i="65"/>
  <c r="Y46" i="65"/>
  <c r="Y47" i="65"/>
  <c r="Y48" i="65"/>
  <c r="Y49" i="65"/>
  <c r="Y50" i="65"/>
  <c r="Y51" i="65"/>
  <c r="Y52" i="65"/>
  <c r="Y53" i="65"/>
  <c r="Y54" i="65"/>
  <c r="Y55" i="65"/>
  <c r="Y56" i="65"/>
  <c r="Y57" i="65"/>
  <c r="Y58" i="65"/>
  <c r="Y59" i="65"/>
  <c r="Y60" i="65"/>
  <c r="Y61" i="65"/>
  <c r="Y62" i="65"/>
  <c r="Y66" i="65"/>
  <c r="Y70" i="65"/>
  <c r="Y74" i="65"/>
  <c r="Y190" i="65"/>
  <c r="Y189" i="65"/>
  <c r="Y187" i="65"/>
  <c r="Y97" i="65"/>
  <c r="Y67" i="65"/>
  <c r="Y71" i="65"/>
  <c r="Y75" i="65"/>
  <c r="Y77" i="65"/>
  <c r="Y78" i="65"/>
  <c r="Y79" i="65"/>
  <c r="Y80" i="65"/>
  <c r="Y65" i="65"/>
  <c r="Y69" i="65"/>
  <c r="Y73" i="65"/>
  <c r="Y64" i="65"/>
  <c r="Y68" i="65"/>
  <c r="Y72" i="65"/>
  <c r="Y76" i="65"/>
  <c r="Y188" i="65"/>
  <c r="Y63" i="65"/>
  <c r="Y81" i="65"/>
  <c r="Y82" i="65"/>
  <c r="Y83" i="65"/>
  <c r="Y84" i="65"/>
  <c r="Y85" i="65"/>
  <c r="Y86" i="65"/>
  <c r="Y87" i="65"/>
  <c r="Y88" i="65"/>
  <c r="Y89" i="65"/>
  <c r="Y90" i="65"/>
  <c r="Y91" i="65"/>
  <c r="Y92" i="65"/>
  <c r="Y93" i="65"/>
  <c r="Y94" i="65"/>
  <c r="Y95" i="65"/>
  <c r="Q98" i="65"/>
  <c r="Q46" i="65"/>
  <c r="Q47" i="65"/>
  <c r="Q48" i="65"/>
  <c r="Q49" i="65"/>
  <c r="Q50" i="65"/>
  <c r="Q51" i="65"/>
  <c r="Q52" i="65"/>
  <c r="Q53" i="65"/>
  <c r="Q54" i="65"/>
  <c r="Q55" i="65"/>
  <c r="Q56" i="65"/>
  <c r="Q57" i="65"/>
  <c r="Q58" i="65"/>
  <c r="Q59" i="65"/>
  <c r="Q60" i="65"/>
  <c r="Q61" i="65"/>
  <c r="Q190" i="65"/>
  <c r="Q189" i="65"/>
  <c r="Q188" i="65"/>
  <c r="Q187" i="65"/>
  <c r="Q97" i="65"/>
  <c r="Q64" i="65"/>
  <c r="Q68" i="65"/>
  <c r="Q72" i="65"/>
  <c r="Q76" i="65"/>
  <c r="Q66" i="65"/>
  <c r="Q70" i="65"/>
  <c r="Q74" i="65"/>
  <c r="Q65" i="65"/>
  <c r="Q69" i="65"/>
  <c r="Q73" i="65"/>
  <c r="Q77" i="65"/>
  <c r="Q78" i="65"/>
  <c r="Q79" i="65"/>
  <c r="Q80" i="65"/>
  <c r="Q63" i="65"/>
  <c r="Q67" i="65"/>
  <c r="Q71" i="65"/>
  <c r="Q75" i="65"/>
  <c r="Q62" i="65"/>
  <c r="Q81" i="65"/>
  <c r="Q82" i="65"/>
  <c r="Q83" i="65"/>
  <c r="Q84" i="65"/>
  <c r="Q85" i="65"/>
  <c r="Q86" i="65"/>
  <c r="Q87" i="65"/>
  <c r="Q88" i="65"/>
  <c r="Q89" i="65"/>
  <c r="Q90" i="65"/>
  <c r="Q91" i="65"/>
  <c r="Q92" i="65"/>
  <c r="Q93" i="65"/>
  <c r="Q94" i="65"/>
  <c r="Q95" i="65"/>
  <c r="X96" i="65"/>
  <c r="P96" i="65"/>
  <c r="P13" i="65"/>
  <c r="BJ121" i="65"/>
  <c r="BI12" i="65"/>
  <c r="X13" i="65"/>
  <c r="AD13" i="65"/>
  <c r="Y17" i="65"/>
  <c r="Y21" i="65"/>
  <c r="Y25" i="65"/>
  <c r="Y29" i="65"/>
  <c r="Y33" i="65"/>
  <c r="Y37" i="65"/>
  <c r="Y41" i="65"/>
  <c r="Y45" i="65"/>
  <c r="Y18" i="65"/>
  <c r="Y22" i="65"/>
  <c r="Y26" i="65"/>
  <c r="Y30" i="65"/>
  <c r="Y34" i="65"/>
  <c r="Y38" i="65"/>
  <c r="Y42" i="65"/>
  <c r="Y16" i="65"/>
  <c r="Y20" i="65"/>
  <c r="Y28" i="65"/>
  <c r="Y36" i="65"/>
  <c r="Y44" i="65"/>
  <c r="Y19" i="65"/>
  <c r="Y27" i="65"/>
  <c r="Y35" i="65"/>
  <c r="Y43" i="65"/>
  <c r="Y39" i="65"/>
  <c r="Y24" i="65"/>
  <c r="Y32" i="65"/>
  <c r="Y40" i="65"/>
  <c r="Y23" i="65"/>
  <c r="Y31" i="65"/>
  <c r="AE19" i="65"/>
  <c r="AE23" i="65"/>
  <c r="AE27" i="65"/>
  <c r="AE31" i="65"/>
  <c r="AE35" i="65"/>
  <c r="AE39" i="65"/>
  <c r="AE43" i="65"/>
  <c r="AE18" i="65"/>
  <c r="AE22" i="65"/>
  <c r="AE26" i="65"/>
  <c r="AE30" i="65"/>
  <c r="AE34" i="65"/>
  <c r="AE38" i="65"/>
  <c r="AE42" i="65"/>
  <c r="AE17" i="65"/>
  <c r="AE21" i="65"/>
  <c r="AE25" i="65"/>
  <c r="AE29" i="65"/>
  <c r="AE33" i="65"/>
  <c r="AE37" i="65"/>
  <c r="AE41" i="65"/>
  <c r="AE45" i="65"/>
  <c r="AE24" i="65"/>
  <c r="AE32" i="65"/>
  <c r="AE40" i="65"/>
  <c r="AE16" i="65"/>
  <c r="AE20" i="65"/>
  <c r="AE28" i="65"/>
  <c r="AE36" i="65"/>
  <c r="AE44" i="65"/>
  <c r="Q18" i="65"/>
  <c r="Q25" i="65"/>
  <c r="Q44" i="65"/>
  <c r="Q28" i="65"/>
  <c r="Q19" i="65"/>
  <c r="Q30" i="65"/>
  <c r="Q34" i="65"/>
  <c r="Q41" i="65"/>
  <c r="Q29" i="65"/>
  <c r="Q22" i="65"/>
  <c r="Q33" i="65"/>
  <c r="Q23" i="65"/>
  <c r="Q40" i="65"/>
  <c r="Q21" i="65"/>
  <c r="Q27" i="65"/>
  <c r="Q35" i="65"/>
  <c r="Q42" i="65"/>
  <c r="Q37" i="65"/>
  <c r="Q24" i="65"/>
  <c r="Q26" i="65"/>
  <c r="Q32" i="65"/>
  <c r="Q39" i="65"/>
  <c r="Q45" i="65"/>
  <c r="Q17" i="65"/>
  <c r="Q20" i="65"/>
  <c r="Q36" i="65"/>
  <c r="Q16" i="65"/>
  <c r="Q31" i="65"/>
  <c r="Q38" i="65"/>
  <c r="Q43" i="65"/>
  <c r="R10" i="65"/>
  <c r="AF10" i="65"/>
  <c r="Z10" i="65"/>
  <c r="BJ98" i="65" l="1"/>
  <c r="BJ228" i="65"/>
  <c r="BJ209" i="65"/>
  <c r="BJ211" i="65"/>
  <c r="BJ294" i="65"/>
  <c r="BJ290" i="65"/>
  <c r="BJ299" i="65"/>
  <c r="BJ152" i="65"/>
  <c r="BJ258" i="65"/>
  <c r="BJ238" i="65"/>
  <c r="BJ195" i="65"/>
  <c r="BJ218" i="65"/>
  <c r="BJ273" i="65"/>
  <c r="BJ279" i="65"/>
  <c r="BJ244" i="65"/>
  <c r="BJ256" i="65"/>
  <c r="BJ284" i="65"/>
  <c r="BJ278" i="65"/>
  <c r="BJ263" i="65"/>
  <c r="BJ266" i="65"/>
  <c r="BJ267" i="65"/>
  <c r="BJ295" i="65"/>
  <c r="BJ288" i="65"/>
  <c r="BJ261" i="65"/>
  <c r="BJ274" i="65"/>
  <c r="BJ208" i="65"/>
  <c r="BJ214" i="65"/>
  <c r="BJ221" i="65"/>
  <c r="BJ197" i="65"/>
  <c r="BJ207" i="65"/>
  <c r="BJ194" i="65"/>
  <c r="BJ219" i="65"/>
  <c r="BJ188" i="65"/>
  <c r="BJ229" i="65"/>
  <c r="BJ232" i="65"/>
  <c r="BJ236" i="65"/>
  <c r="BJ247" i="65"/>
  <c r="BJ239" i="65"/>
  <c r="BJ245" i="65"/>
  <c r="BJ250" i="65"/>
  <c r="BJ248" i="65"/>
  <c r="BJ253" i="65"/>
  <c r="BJ187" i="65"/>
  <c r="BJ151" i="65"/>
  <c r="BJ292" i="65"/>
  <c r="BJ287" i="65"/>
  <c r="BJ293" i="65"/>
  <c r="BJ271" i="65"/>
  <c r="BJ270" i="65"/>
  <c r="BJ260" i="65"/>
  <c r="BJ265" i="65"/>
  <c r="BJ277" i="65"/>
  <c r="BJ269" i="65"/>
  <c r="BJ272" i="65"/>
  <c r="BJ217" i="65"/>
  <c r="BJ206" i="65"/>
  <c r="BJ213" i="65"/>
  <c r="BJ210" i="65"/>
  <c r="BJ196" i="65"/>
  <c r="BJ203" i="65"/>
  <c r="BJ192" i="65"/>
  <c r="BJ204" i="65"/>
  <c r="BJ233" i="65"/>
  <c r="BJ243" i="65"/>
  <c r="BJ235" i="65"/>
  <c r="BJ242" i="65"/>
  <c r="BJ237" i="65"/>
  <c r="BJ252" i="65"/>
  <c r="BJ249" i="65"/>
  <c r="BJ186" i="65"/>
  <c r="BJ96" i="65"/>
  <c r="BJ122" i="65"/>
  <c r="BJ291" i="65"/>
  <c r="BJ296" i="65"/>
  <c r="BJ283" i="65"/>
  <c r="BJ297" i="65"/>
  <c r="BJ280" i="65"/>
  <c r="BJ264" i="65"/>
  <c r="BJ281" i="65"/>
  <c r="BJ289" i="65"/>
  <c r="BJ298" i="65"/>
  <c r="BJ275" i="65"/>
  <c r="BJ212" i="65"/>
  <c r="BJ216" i="65"/>
  <c r="BJ205" i="65"/>
  <c r="BJ201" i="65"/>
  <c r="BJ193" i="65"/>
  <c r="BJ199" i="65"/>
  <c r="BJ191" i="65"/>
  <c r="BJ202" i="65"/>
  <c r="BJ225" i="65"/>
  <c r="BJ230" i="65"/>
  <c r="BJ240" i="65"/>
  <c r="BJ224" i="65"/>
  <c r="BJ226" i="65"/>
  <c r="BJ246" i="65"/>
  <c r="BJ254" i="65"/>
  <c r="BJ251" i="65"/>
  <c r="BJ190" i="65"/>
  <c r="BJ99" i="65"/>
  <c r="BJ189" i="65"/>
  <c r="BJ123" i="65"/>
  <c r="BJ255" i="65"/>
  <c r="BJ231" i="65"/>
  <c r="BJ234" i="65"/>
  <c r="BJ198" i="65"/>
  <c r="BJ200" i="65"/>
  <c r="BJ268" i="65"/>
  <c r="BJ282" i="65"/>
  <c r="BJ257" i="65"/>
  <c r="AE186" i="65"/>
  <c r="Z257" i="65"/>
  <c r="Z256" i="65"/>
  <c r="Z244" i="65"/>
  <c r="Z292" i="65"/>
  <c r="Z291" i="65"/>
  <c r="AF292" i="65"/>
  <c r="AF291" i="65"/>
  <c r="AF257" i="65"/>
  <c r="AF256" i="65"/>
  <c r="AF244" i="65"/>
  <c r="R257" i="65"/>
  <c r="R244" i="65"/>
  <c r="R256" i="65"/>
  <c r="R292" i="65"/>
  <c r="R291" i="65"/>
  <c r="Y186" i="65"/>
  <c r="Q186" i="65"/>
  <c r="Z298" i="65"/>
  <c r="Z294" i="65"/>
  <c r="Z293" i="65"/>
  <c r="Z290" i="65"/>
  <c r="Z286" i="65"/>
  <c r="Z295" i="65"/>
  <c r="Z287" i="65"/>
  <c r="Z285" i="65"/>
  <c r="Z296" i="65"/>
  <c r="Z288" i="65"/>
  <c r="Z281" i="65"/>
  <c r="Z297" i="65"/>
  <c r="Z283" i="65"/>
  <c r="Z279" i="65"/>
  <c r="Z262" i="65"/>
  <c r="Z284" i="65"/>
  <c r="Z282" i="65"/>
  <c r="Z280" i="65"/>
  <c r="Z261" i="65"/>
  <c r="Z267" i="65"/>
  <c r="Z289" i="65"/>
  <c r="Z278" i="65"/>
  <c r="Z260" i="65"/>
  <c r="Z276" i="65"/>
  <c r="Z265" i="65"/>
  <c r="Z270" i="65"/>
  <c r="Z268" i="65"/>
  <c r="Z277" i="65"/>
  <c r="Z264" i="65"/>
  <c r="Z269" i="65"/>
  <c r="Z266" i="65"/>
  <c r="Z271" i="65"/>
  <c r="Z263" i="65"/>
  <c r="R298" i="65"/>
  <c r="R294" i="65"/>
  <c r="R293" i="65"/>
  <c r="R290" i="65"/>
  <c r="R286" i="65"/>
  <c r="R295" i="65"/>
  <c r="R287" i="65"/>
  <c r="R285" i="65"/>
  <c r="R296" i="65"/>
  <c r="R288" i="65"/>
  <c r="R281" i="65"/>
  <c r="R297" i="65"/>
  <c r="R283" i="65"/>
  <c r="R279" i="65"/>
  <c r="R262" i="65"/>
  <c r="R284" i="65"/>
  <c r="R282" i="65"/>
  <c r="R280" i="65"/>
  <c r="R261" i="65"/>
  <c r="R267" i="65"/>
  <c r="R278" i="65"/>
  <c r="R263" i="65"/>
  <c r="R265" i="65"/>
  <c r="R264" i="65"/>
  <c r="R276" i="65"/>
  <c r="R266" i="65"/>
  <c r="R270" i="65"/>
  <c r="R268" i="65"/>
  <c r="R260" i="65"/>
  <c r="R271" i="65"/>
  <c r="R269" i="65"/>
  <c r="R289" i="65"/>
  <c r="R277" i="65"/>
  <c r="AF296" i="65"/>
  <c r="AF288" i="65"/>
  <c r="AF297" i="65"/>
  <c r="AF289" i="65"/>
  <c r="AF298" i="65"/>
  <c r="AF294" i="65"/>
  <c r="AF293" i="65"/>
  <c r="AF290" i="65"/>
  <c r="AF286" i="65"/>
  <c r="AF287" i="65"/>
  <c r="AF284" i="65"/>
  <c r="AF282" i="65"/>
  <c r="AF280" i="65"/>
  <c r="AF285" i="65"/>
  <c r="AF278" i="65"/>
  <c r="AF277" i="65"/>
  <c r="AF276" i="65"/>
  <c r="AF295" i="65"/>
  <c r="AF281" i="65"/>
  <c r="AF263" i="65"/>
  <c r="AF265" i="65"/>
  <c r="AF283" i="65"/>
  <c r="AF267" i="65"/>
  <c r="AF264" i="65"/>
  <c r="AF270" i="65"/>
  <c r="AF268" i="65"/>
  <c r="AF279" i="65"/>
  <c r="AF262" i="65"/>
  <c r="AF261" i="65"/>
  <c r="AF266" i="65"/>
  <c r="AF269" i="65"/>
  <c r="AF271" i="65"/>
  <c r="AF260" i="65"/>
  <c r="Z274" i="65"/>
  <c r="Z273" i="65"/>
  <c r="Z275" i="65"/>
  <c r="Z272" i="65"/>
  <c r="AF272" i="65"/>
  <c r="AF275" i="65"/>
  <c r="AF273" i="65"/>
  <c r="AF274" i="65"/>
  <c r="R274" i="65"/>
  <c r="R275" i="65"/>
  <c r="R272" i="65"/>
  <c r="R273" i="65"/>
  <c r="Z175" i="65"/>
  <c r="Z214" i="65"/>
  <c r="Z210" i="65"/>
  <c r="Z208" i="65"/>
  <c r="Z206" i="65"/>
  <c r="Z222" i="65"/>
  <c r="Z213" i="65"/>
  <c r="Z223" i="65"/>
  <c r="Z212" i="65"/>
  <c r="Z215" i="65"/>
  <c r="Z217" i="65"/>
  <c r="Z202" i="65"/>
  <c r="Z198" i="65"/>
  <c r="Z216" i="65"/>
  <c r="Z211" i="65"/>
  <c r="Z207" i="65"/>
  <c r="Z201" i="65"/>
  <c r="Z205" i="65"/>
  <c r="Z204" i="65"/>
  <c r="Z203" i="65"/>
  <c r="Z199" i="65"/>
  <c r="Z220" i="65"/>
  <c r="Z197" i="65"/>
  <c r="Z221" i="65"/>
  <c r="Z218" i="65"/>
  <c r="Z194" i="65"/>
  <c r="Z209" i="65"/>
  <c r="Z200" i="65"/>
  <c r="Z219" i="65"/>
  <c r="Z196" i="65"/>
  <c r="Z195" i="65"/>
  <c r="Z193" i="65"/>
  <c r="Z192" i="65"/>
  <c r="Z191" i="65"/>
  <c r="Z174" i="65"/>
  <c r="AF223" i="65"/>
  <c r="AF212" i="65"/>
  <c r="AF209" i="65"/>
  <c r="AF207" i="65"/>
  <c r="AF174" i="65"/>
  <c r="AF217" i="65"/>
  <c r="AF216" i="65"/>
  <c r="AF215" i="65"/>
  <c r="AF211" i="65"/>
  <c r="AF175" i="65"/>
  <c r="AF214" i="65"/>
  <c r="AF206" i="65"/>
  <c r="AF200" i="65"/>
  <c r="AF205" i="65"/>
  <c r="AF204" i="65"/>
  <c r="AF203" i="65"/>
  <c r="AF199" i="65"/>
  <c r="AF198" i="65"/>
  <c r="AF222" i="65"/>
  <c r="AF202" i="65"/>
  <c r="AF218" i="65"/>
  <c r="AF196" i="65"/>
  <c r="AF213" i="65"/>
  <c r="AF210" i="65"/>
  <c r="AF201" i="65"/>
  <c r="AF195" i="65"/>
  <c r="AF193" i="65"/>
  <c r="AF192" i="65"/>
  <c r="AF191" i="65"/>
  <c r="AF208" i="65"/>
  <c r="AF219" i="65"/>
  <c r="AF221" i="65"/>
  <c r="AF220" i="65"/>
  <c r="AF197" i="65"/>
  <c r="AF194" i="65"/>
  <c r="R222" i="65"/>
  <c r="R214" i="65"/>
  <c r="R210" i="65"/>
  <c r="R208" i="65"/>
  <c r="R223" i="65"/>
  <c r="R213" i="65"/>
  <c r="R174" i="65"/>
  <c r="R212" i="65"/>
  <c r="R175" i="65"/>
  <c r="R215" i="65"/>
  <c r="R217" i="65"/>
  <c r="R209" i="65"/>
  <c r="R202" i="65"/>
  <c r="R198" i="65"/>
  <c r="R211" i="65"/>
  <c r="R207" i="65"/>
  <c r="R205" i="65"/>
  <c r="R204" i="65"/>
  <c r="R203" i="65"/>
  <c r="R200" i="65"/>
  <c r="R199" i="65"/>
  <c r="R206" i="65"/>
  <c r="R220" i="65"/>
  <c r="R197" i="65"/>
  <c r="R216" i="65"/>
  <c r="R196" i="65"/>
  <c r="R194" i="65"/>
  <c r="R201" i="65"/>
  <c r="R219" i="65"/>
  <c r="R218" i="65"/>
  <c r="R195" i="65"/>
  <c r="R193" i="65"/>
  <c r="R192" i="65"/>
  <c r="R191" i="65"/>
  <c r="R221" i="65"/>
  <c r="Z226" i="65"/>
  <c r="Z231" i="65"/>
  <c r="Z247" i="65"/>
  <c r="Z224" i="65"/>
  <c r="Z225" i="65"/>
  <c r="Z227" i="65"/>
  <c r="Z229" i="65"/>
  <c r="Z232" i="65"/>
  <c r="Z230" i="65"/>
  <c r="Z246" i="65"/>
  <c r="Z228" i="65"/>
  <c r="Z245" i="65"/>
  <c r="Z241" i="65"/>
  <c r="Z239" i="65"/>
  <c r="Z233" i="65"/>
  <c r="Z234" i="65"/>
  <c r="Z243" i="65"/>
  <c r="Z237" i="65"/>
  <c r="Z236" i="65"/>
  <c r="Z235" i="65"/>
  <c r="Z242" i="65"/>
  <c r="Z240" i="65"/>
  <c r="Z238" i="65"/>
  <c r="AF224" i="65"/>
  <c r="AF225" i="65"/>
  <c r="AF233" i="65"/>
  <c r="AF226" i="65"/>
  <c r="AF228" i="65"/>
  <c r="AF230" i="65"/>
  <c r="AF234" i="65"/>
  <c r="AF232" i="65"/>
  <c r="AF243" i="65"/>
  <c r="AF242" i="65"/>
  <c r="AF240" i="65"/>
  <c r="AF238" i="65"/>
  <c r="AF229" i="65"/>
  <c r="AF247" i="65"/>
  <c r="AF246" i="65"/>
  <c r="AF245" i="65"/>
  <c r="AF241" i="65"/>
  <c r="AF239" i="65"/>
  <c r="AF237" i="65"/>
  <c r="AF236" i="65"/>
  <c r="AF235" i="65"/>
  <c r="AF227" i="65"/>
  <c r="AF231" i="65"/>
  <c r="R226" i="65"/>
  <c r="R231" i="65"/>
  <c r="R247" i="65"/>
  <c r="R224" i="65"/>
  <c r="R225" i="65"/>
  <c r="R227" i="65"/>
  <c r="R229" i="65"/>
  <c r="R232" i="65"/>
  <c r="R228" i="65"/>
  <c r="R246" i="65"/>
  <c r="R233" i="65"/>
  <c r="R234" i="65"/>
  <c r="R245" i="65"/>
  <c r="R241" i="65"/>
  <c r="R239" i="65"/>
  <c r="R243" i="65"/>
  <c r="R230" i="65"/>
  <c r="R242" i="65"/>
  <c r="R240" i="65"/>
  <c r="R238" i="65"/>
  <c r="R237" i="65"/>
  <c r="R236" i="65"/>
  <c r="R235" i="65"/>
  <c r="Z251" i="65"/>
  <c r="Z253" i="65"/>
  <c r="Z255" i="65"/>
  <c r="Z258" i="65"/>
  <c r="Z248" i="65"/>
  <c r="Z249" i="65"/>
  <c r="Z250" i="65"/>
  <c r="Z252" i="65"/>
  <c r="Z254" i="65"/>
  <c r="Z259" i="65"/>
  <c r="R251" i="65"/>
  <c r="R253" i="65"/>
  <c r="R255" i="65"/>
  <c r="R258" i="65"/>
  <c r="R248" i="65"/>
  <c r="R249" i="65"/>
  <c r="R250" i="65"/>
  <c r="R252" i="65"/>
  <c r="R254" i="65"/>
  <c r="R259" i="65"/>
  <c r="BC12" i="65"/>
  <c r="AF248" i="65"/>
  <c r="AF249" i="65"/>
  <c r="AF250" i="65"/>
  <c r="AF252" i="65"/>
  <c r="AF254" i="65"/>
  <c r="AF259" i="65"/>
  <c r="AF251" i="65"/>
  <c r="AF253" i="65"/>
  <c r="AF255" i="65"/>
  <c r="AF258" i="65"/>
  <c r="R185" i="65"/>
  <c r="R184" i="65"/>
  <c r="R183" i="65"/>
  <c r="R182" i="65"/>
  <c r="R181" i="65"/>
  <c r="R180" i="65"/>
  <c r="R179" i="65"/>
  <c r="R178" i="65"/>
  <c r="R177" i="65"/>
  <c r="R176" i="65"/>
  <c r="R173" i="65"/>
  <c r="R172" i="65"/>
  <c r="R171" i="65"/>
  <c r="R170" i="65"/>
  <c r="R169" i="65"/>
  <c r="R168" i="65"/>
  <c r="R167" i="65"/>
  <c r="R166" i="65"/>
  <c r="R165" i="65"/>
  <c r="R164" i="65"/>
  <c r="R163" i="65"/>
  <c r="R162" i="65"/>
  <c r="R161" i="65"/>
  <c r="R160" i="65"/>
  <c r="R157" i="65"/>
  <c r="R153" i="65"/>
  <c r="R156" i="65"/>
  <c r="R152" i="65"/>
  <c r="R158" i="65"/>
  <c r="R159" i="65"/>
  <c r="R155" i="65"/>
  <c r="R154" i="65"/>
  <c r="Z185" i="65"/>
  <c r="Z184" i="65"/>
  <c r="Z183" i="65"/>
  <c r="Z182" i="65"/>
  <c r="Z181" i="65"/>
  <c r="Z180" i="65"/>
  <c r="Z179" i="65"/>
  <c r="Z178" i="65"/>
  <c r="Z177" i="65"/>
  <c r="Z176" i="65"/>
  <c r="Z173" i="65"/>
  <c r="Z172" i="65"/>
  <c r="Z171" i="65"/>
  <c r="Z170" i="65"/>
  <c r="Z169" i="65"/>
  <c r="Z168" i="65"/>
  <c r="Z167" i="65"/>
  <c r="Z166" i="65"/>
  <c r="Z165" i="65"/>
  <c r="Z164" i="65"/>
  <c r="Z163" i="65"/>
  <c r="Z162" i="65"/>
  <c r="Z161" i="65"/>
  <c r="Z160" i="65"/>
  <c r="Z159" i="65"/>
  <c r="Z158" i="65"/>
  <c r="Z154" i="65"/>
  <c r="Z157" i="65"/>
  <c r="Z153" i="65"/>
  <c r="Z156" i="65"/>
  <c r="Z152" i="65"/>
  <c r="Z155" i="65"/>
  <c r="AF185" i="65"/>
  <c r="AF184" i="65"/>
  <c r="AF183" i="65"/>
  <c r="AF182" i="65"/>
  <c r="AF181" i="65"/>
  <c r="AF180" i="65"/>
  <c r="AF177" i="65"/>
  <c r="AF171" i="65"/>
  <c r="AF167" i="65"/>
  <c r="AF178" i="65"/>
  <c r="AF172" i="65"/>
  <c r="AF168" i="65"/>
  <c r="AF179" i="65"/>
  <c r="AF173" i="65"/>
  <c r="AF169" i="65"/>
  <c r="AF165" i="65"/>
  <c r="AF164" i="65"/>
  <c r="AF163" i="65"/>
  <c r="AF162" i="65"/>
  <c r="AF161" i="65"/>
  <c r="AF160" i="65"/>
  <c r="AF159" i="65"/>
  <c r="AF157" i="65"/>
  <c r="AF153" i="65"/>
  <c r="AF166" i="65"/>
  <c r="AF156" i="65"/>
  <c r="AF152" i="65"/>
  <c r="AF176" i="65"/>
  <c r="AF154" i="65"/>
  <c r="AF170" i="65"/>
  <c r="AF155" i="65"/>
  <c r="AF158" i="65"/>
  <c r="AD12" i="65"/>
  <c r="P12" i="65"/>
  <c r="AE151" i="65"/>
  <c r="Y151" i="65"/>
  <c r="Q151" i="65"/>
  <c r="Z150" i="65"/>
  <c r="Z149" i="65"/>
  <c r="Z148" i="65"/>
  <c r="Z147" i="65"/>
  <c r="Z146" i="65"/>
  <c r="Z145" i="65"/>
  <c r="Z144" i="65"/>
  <c r="Z143" i="65"/>
  <c r="Z142" i="65"/>
  <c r="Z141" i="65"/>
  <c r="Z140" i="65"/>
  <c r="Z138" i="65"/>
  <c r="Z139" i="65"/>
  <c r="Z136" i="65"/>
  <c r="Z135" i="65"/>
  <c r="Z134" i="65"/>
  <c r="Z133" i="65"/>
  <c r="Z132" i="65"/>
  <c r="Z131" i="65"/>
  <c r="Z130" i="65"/>
  <c r="Z129" i="65"/>
  <c r="Z128" i="65"/>
  <c r="Z127" i="65"/>
  <c r="Z126" i="65"/>
  <c r="Z125" i="65"/>
  <c r="Z124" i="65"/>
  <c r="Z123" i="65"/>
  <c r="Z122" i="65"/>
  <c r="Z120" i="65"/>
  <c r="Z119" i="65"/>
  <c r="Z118" i="65"/>
  <c r="Z117" i="65"/>
  <c r="Z116" i="65"/>
  <c r="Z115" i="65"/>
  <c r="Z114" i="65"/>
  <c r="Z113" i="65"/>
  <c r="Z112" i="65"/>
  <c r="Z137" i="65"/>
  <c r="Z111" i="65"/>
  <c r="Z110" i="65"/>
  <c r="Z109" i="65"/>
  <c r="Z108" i="65"/>
  <c r="Z107" i="65"/>
  <c r="Z106" i="65"/>
  <c r="Z105" i="65"/>
  <c r="Z104" i="65"/>
  <c r="Z103" i="65"/>
  <c r="Z102" i="65"/>
  <c r="Z101" i="65"/>
  <c r="Z100" i="65"/>
  <c r="Z99" i="65"/>
  <c r="X12" i="65"/>
  <c r="AF110" i="65"/>
  <c r="AF137" i="65"/>
  <c r="AF148" i="65"/>
  <c r="AF144" i="65"/>
  <c r="AF140" i="65"/>
  <c r="AF130" i="65"/>
  <c r="AF126" i="65"/>
  <c r="AF122" i="65"/>
  <c r="AF117" i="65"/>
  <c r="AF113" i="65"/>
  <c r="AF147" i="65"/>
  <c r="AF143" i="65"/>
  <c r="AF138" i="65"/>
  <c r="AF139" i="65"/>
  <c r="AF136" i="65"/>
  <c r="AF135" i="65"/>
  <c r="AF134" i="65"/>
  <c r="AF133" i="65"/>
  <c r="AF131" i="65"/>
  <c r="AF127" i="65"/>
  <c r="AF123" i="65"/>
  <c r="AF118" i="65"/>
  <c r="AF114" i="65"/>
  <c r="AF150" i="65"/>
  <c r="AF142" i="65"/>
  <c r="AF132" i="65"/>
  <c r="AF124" i="65"/>
  <c r="AF115" i="65"/>
  <c r="AF145" i="65"/>
  <c r="AF129" i="65"/>
  <c r="AF120" i="65"/>
  <c r="AF108" i="65"/>
  <c r="AF107" i="65"/>
  <c r="AF106" i="65"/>
  <c r="AF105" i="65"/>
  <c r="AF104" i="65"/>
  <c r="AF103" i="65"/>
  <c r="AF102" i="65"/>
  <c r="AF146" i="65"/>
  <c r="AF128" i="65"/>
  <c r="AF119" i="65"/>
  <c r="AF112" i="65"/>
  <c r="AF111" i="65"/>
  <c r="AF109" i="65"/>
  <c r="AF149" i="65"/>
  <c r="AF141" i="65"/>
  <c r="AF125" i="65"/>
  <c r="AF116" i="65"/>
  <c r="AF101" i="65"/>
  <c r="AF100" i="65"/>
  <c r="AF99" i="65"/>
  <c r="Q121" i="65"/>
  <c r="AE121" i="65"/>
  <c r="Y121" i="65"/>
  <c r="R150" i="65"/>
  <c r="R149" i="65"/>
  <c r="R148" i="65"/>
  <c r="R147" i="65"/>
  <c r="R146" i="65"/>
  <c r="R145" i="65"/>
  <c r="R144" i="65"/>
  <c r="R143" i="65"/>
  <c r="R142" i="65"/>
  <c r="R141" i="65"/>
  <c r="R140" i="65"/>
  <c r="R138" i="65"/>
  <c r="R137" i="65"/>
  <c r="R139" i="65"/>
  <c r="R136" i="65"/>
  <c r="R135" i="65"/>
  <c r="R134" i="65"/>
  <c r="R133" i="65"/>
  <c r="R132" i="65"/>
  <c r="R131" i="65"/>
  <c r="R130" i="65"/>
  <c r="R129" i="65"/>
  <c r="R128" i="65"/>
  <c r="R127" i="65"/>
  <c r="R126" i="65"/>
  <c r="R125" i="65"/>
  <c r="R124" i="65"/>
  <c r="R123" i="65"/>
  <c r="R122" i="65"/>
  <c r="R120" i="65"/>
  <c r="R119" i="65"/>
  <c r="R118" i="65"/>
  <c r="R117" i="65"/>
  <c r="R116" i="65"/>
  <c r="R115" i="65"/>
  <c r="R114" i="65"/>
  <c r="R113" i="65"/>
  <c r="R110" i="65"/>
  <c r="R112" i="65"/>
  <c r="R111" i="65"/>
  <c r="R109" i="65"/>
  <c r="R108" i="65"/>
  <c r="R107" i="65"/>
  <c r="R106" i="65"/>
  <c r="R105" i="65"/>
  <c r="R104" i="65"/>
  <c r="R103" i="65"/>
  <c r="R102" i="65"/>
  <c r="R101" i="65"/>
  <c r="R100" i="65"/>
  <c r="R99" i="65"/>
  <c r="Y96" i="65"/>
  <c r="R19" i="65"/>
  <c r="R98" i="65"/>
  <c r="R46" i="65"/>
  <c r="R47" i="65"/>
  <c r="R48" i="65"/>
  <c r="R49" i="65"/>
  <c r="R50" i="65"/>
  <c r="R51" i="65"/>
  <c r="R52" i="65"/>
  <c r="R53" i="65"/>
  <c r="R54" i="65"/>
  <c r="R55" i="65"/>
  <c r="R56" i="65"/>
  <c r="R57" i="65"/>
  <c r="R58" i="65"/>
  <c r="R59" i="65"/>
  <c r="R60" i="65"/>
  <c r="R61" i="65"/>
  <c r="R62" i="65"/>
  <c r="R65" i="65"/>
  <c r="R69" i="65"/>
  <c r="R73" i="65"/>
  <c r="R77" i="65"/>
  <c r="R78" i="65"/>
  <c r="R79" i="65"/>
  <c r="R80" i="65"/>
  <c r="R81" i="65"/>
  <c r="R82" i="65"/>
  <c r="R83" i="65"/>
  <c r="R84" i="65"/>
  <c r="R85" i="65"/>
  <c r="R86" i="65"/>
  <c r="R87" i="65"/>
  <c r="R88" i="65"/>
  <c r="R89" i="65"/>
  <c r="R90" i="65"/>
  <c r="R91" i="65"/>
  <c r="R92" i="65"/>
  <c r="R93" i="65"/>
  <c r="R94" i="65"/>
  <c r="R95" i="65"/>
  <c r="R66" i="65"/>
  <c r="R70" i="65"/>
  <c r="R74" i="65"/>
  <c r="R64" i="65"/>
  <c r="R68" i="65"/>
  <c r="R72" i="65"/>
  <c r="R76" i="65"/>
  <c r="R190" i="65"/>
  <c r="R189" i="65"/>
  <c r="R188" i="65"/>
  <c r="R187" i="65"/>
  <c r="R97" i="65"/>
  <c r="R63" i="65"/>
  <c r="R67" i="65"/>
  <c r="R71" i="65"/>
  <c r="R75" i="65"/>
  <c r="AE96" i="65"/>
  <c r="AF98" i="65"/>
  <c r="AF190" i="65"/>
  <c r="AF189" i="65"/>
  <c r="AF188" i="65"/>
  <c r="AF187" i="65"/>
  <c r="AF97" i="65"/>
  <c r="AF62" i="65"/>
  <c r="AF63" i="65"/>
  <c r="AF64" i="65"/>
  <c r="AF65" i="65"/>
  <c r="AF66" i="65"/>
  <c r="AF67" i="65"/>
  <c r="AF68" i="65"/>
  <c r="AF69" i="65"/>
  <c r="AF70" i="65"/>
  <c r="AF71" i="65"/>
  <c r="AF72" i="65"/>
  <c r="AF73" i="65"/>
  <c r="AF74" i="65"/>
  <c r="AF75" i="65"/>
  <c r="AF76" i="65"/>
  <c r="AF47" i="65"/>
  <c r="AF49" i="65"/>
  <c r="AF51" i="65"/>
  <c r="AF53" i="65"/>
  <c r="AF55" i="65"/>
  <c r="AF57" i="65"/>
  <c r="AF59" i="65"/>
  <c r="AF61" i="65"/>
  <c r="AF56" i="65"/>
  <c r="AF78" i="65"/>
  <c r="AF79" i="65"/>
  <c r="AF80" i="65"/>
  <c r="AF83" i="65"/>
  <c r="AF86" i="65"/>
  <c r="AF88" i="65"/>
  <c r="AF90" i="65"/>
  <c r="AF92" i="65"/>
  <c r="AF95" i="65"/>
  <c r="AF46" i="65"/>
  <c r="AF48" i="65"/>
  <c r="AF50" i="65"/>
  <c r="AF52" i="65"/>
  <c r="AF54" i="65"/>
  <c r="AF58" i="65"/>
  <c r="AF60" i="65"/>
  <c r="AF77" i="65"/>
  <c r="AF81" i="65"/>
  <c r="AF82" i="65"/>
  <c r="AF84" i="65"/>
  <c r="AF85" i="65"/>
  <c r="AF87" i="65"/>
  <c r="AF89" i="65"/>
  <c r="AF91" i="65"/>
  <c r="AF93" i="65"/>
  <c r="AF94" i="65"/>
  <c r="Z98" i="65"/>
  <c r="Z46" i="65"/>
  <c r="Z47" i="65"/>
  <c r="Z48" i="65"/>
  <c r="Z49" i="65"/>
  <c r="Z50" i="65"/>
  <c r="Z51" i="65"/>
  <c r="Z52" i="65"/>
  <c r="Z53" i="65"/>
  <c r="Z54" i="65"/>
  <c r="Z55" i="65"/>
  <c r="Z56" i="65"/>
  <c r="Z57" i="65"/>
  <c r="Z58" i="65"/>
  <c r="Z59" i="65"/>
  <c r="Z60" i="65"/>
  <c r="Z61" i="65"/>
  <c r="Z63" i="65"/>
  <c r="Z67" i="65"/>
  <c r="Z71" i="65"/>
  <c r="Z75" i="65"/>
  <c r="Z77" i="65"/>
  <c r="Z78" i="65"/>
  <c r="Z79" i="65"/>
  <c r="Z80" i="65"/>
  <c r="Z81" i="65"/>
  <c r="Z82" i="65"/>
  <c r="Z83" i="65"/>
  <c r="Z84" i="65"/>
  <c r="Z85" i="65"/>
  <c r="Z86" i="65"/>
  <c r="Z87" i="65"/>
  <c r="Z88" i="65"/>
  <c r="Z89" i="65"/>
  <c r="Z90" i="65"/>
  <c r="Z91" i="65"/>
  <c r="Z92" i="65"/>
  <c r="Z93" i="65"/>
  <c r="Z94" i="65"/>
  <c r="Z95" i="65"/>
  <c r="Z190" i="65"/>
  <c r="Z189" i="65"/>
  <c r="Z188" i="65"/>
  <c r="Z187" i="65"/>
  <c r="Z97" i="65"/>
  <c r="Z65" i="65"/>
  <c r="Z69" i="65"/>
  <c r="Z73" i="65"/>
  <c r="Z64" i="65"/>
  <c r="Z68" i="65"/>
  <c r="Z72" i="65"/>
  <c r="Z76" i="65"/>
  <c r="Z62" i="65"/>
  <c r="Z66" i="65"/>
  <c r="Z70" i="65"/>
  <c r="Z74" i="65"/>
  <c r="Q96" i="65"/>
  <c r="BJ12" i="65"/>
  <c r="Y13" i="65"/>
  <c r="Q13" i="65"/>
  <c r="AE13" i="65"/>
  <c r="Z20" i="65"/>
  <c r="Z24" i="65"/>
  <c r="Z28" i="65"/>
  <c r="Z32" i="65"/>
  <c r="Z36" i="65"/>
  <c r="Z40" i="65"/>
  <c r="Z44" i="65"/>
  <c r="Z19" i="65"/>
  <c r="Z23" i="65"/>
  <c r="Z27" i="65"/>
  <c r="Z31" i="65"/>
  <c r="Z35" i="65"/>
  <c r="Z39" i="65"/>
  <c r="Z43" i="65"/>
  <c r="Z18" i="65"/>
  <c r="Z22" i="65"/>
  <c r="Z26" i="65"/>
  <c r="Z30" i="65"/>
  <c r="Z34" i="65"/>
  <c r="Z38" i="65"/>
  <c r="Z42" i="65"/>
  <c r="Z17" i="65"/>
  <c r="Z21" i="65"/>
  <c r="Z25" i="65"/>
  <c r="Z29" i="65"/>
  <c r="Z33" i="65"/>
  <c r="Z37" i="65"/>
  <c r="Z41" i="65"/>
  <c r="Z45" i="65"/>
  <c r="Z16" i="65"/>
  <c r="AF18" i="65"/>
  <c r="AF22" i="65"/>
  <c r="AF26" i="65"/>
  <c r="AF30" i="65"/>
  <c r="AF34" i="65"/>
  <c r="AF38" i="65"/>
  <c r="AF42" i="65"/>
  <c r="AF20" i="65"/>
  <c r="AF24" i="65"/>
  <c r="AF28" i="65"/>
  <c r="AF32" i="65"/>
  <c r="AF36" i="65"/>
  <c r="AF40" i="65"/>
  <c r="AF44" i="65"/>
  <c r="AF19" i="65"/>
  <c r="AF23" i="65"/>
  <c r="AF27" i="65"/>
  <c r="AF31" i="65"/>
  <c r="AF35" i="65"/>
  <c r="AF39" i="65"/>
  <c r="AF43" i="65"/>
  <c r="AF21" i="65"/>
  <c r="AF29" i="65"/>
  <c r="AF37" i="65"/>
  <c r="AF45" i="65"/>
  <c r="AF17" i="65"/>
  <c r="AF25" i="65"/>
  <c r="AF33" i="65"/>
  <c r="AF41" i="65"/>
  <c r="AF16" i="65"/>
  <c r="R36" i="65"/>
  <c r="R40" i="65"/>
  <c r="R20" i="65"/>
  <c r="R34" i="65"/>
  <c r="R39" i="65"/>
  <c r="R44" i="65"/>
  <c r="R41" i="65"/>
  <c r="R38" i="65"/>
  <c r="R26" i="65"/>
  <c r="R16" i="65"/>
  <c r="R23" i="65"/>
  <c r="R27" i="65"/>
  <c r="R45" i="65"/>
  <c r="R32" i="65"/>
  <c r="R37" i="65"/>
  <c r="R21" i="65"/>
  <c r="R29" i="65"/>
  <c r="R33" i="65"/>
  <c r="R42" i="65"/>
  <c r="R18" i="65"/>
  <c r="R25" i="65"/>
  <c r="R35" i="65"/>
  <c r="R31" i="65"/>
  <c r="R30" i="65"/>
  <c r="R43" i="65"/>
  <c r="R24" i="65"/>
  <c r="R28" i="65"/>
  <c r="R17" i="65"/>
  <c r="R22" i="65"/>
  <c r="R186" i="65" l="1"/>
  <c r="AF186" i="65"/>
  <c r="Z186" i="65"/>
  <c r="AE12" i="65"/>
  <c r="Z151" i="65"/>
  <c r="R151" i="65"/>
  <c r="AF151" i="65"/>
  <c r="Y12" i="65"/>
  <c r="Q12" i="65"/>
  <c r="R121" i="65"/>
  <c r="AF121" i="65"/>
  <c r="Z121" i="65"/>
  <c r="Z96" i="65"/>
  <c r="R96" i="65"/>
  <c r="R12" i="65" s="1"/>
  <c r="AF96" i="65"/>
  <c r="AF12" i="65" s="1"/>
  <c r="Z13" i="65"/>
  <c r="AF13" i="65"/>
  <c r="R13" i="65"/>
  <c r="Z12" i="65" l="1"/>
  <c r="U60" i="51"/>
  <c r="U58" i="51"/>
  <c r="U56" i="49"/>
  <c r="U54" i="49"/>
  <c r="U86" i="54"/>
  <c r="F90" i="43" s="1"/>
  <c r="U51" i="49" l="1"/>
  <c r="F285" i="43" s="1"/>
  <c r="U56" i="51" l="1"/>
  <c r="U53" i="51" s="1"/>
  <c r="F402" i="43" s="1"/>
  <c r="U84" i="54"/>
  <c r="U61" i="52"/>
  <c r="U59" i="52"/>
  <c r="F908" i="43"/>
  <c r="F907" i="43"/>
  <c r="F477" i="43"/>
  <c r="F173" i="43"/>
  <c r="F174" i="43"/>
  <c r="F175" i="43"/>
  <c r="F172" i="43"/>
  <c r="G470" i="63"/>
  <c r="G459" i="63"/>
  <c r="G458" i="63"/>
  <c r="G416" i="63"/>
  <c r="G417" i="63" s="1"/>
  <c r="G418" i="63" s="1"/>
  <c r="G410" i="63"/>
  <c r="G411" i="63" s="1"/>
  <c r="G412" i="63" s="1"/>
  <c r="G413" i="63" s="1"/>
  <c r="G393" i="63"/>
  <c r="G394" i="63" s="1"/>
  <c r="G395" i="63" s="1"/>
  <c r="G386" i="63"/>
  <c r="G385" i="63" s="1"/>
  <c r="G371" i="63"/>
  <c r="G372" i="63" s="1"/>
  <c r="G373" i="63" s="1"/>
  <c r="G374" i="63" s="1"/>
  <c r="G363" i="63"/>
  <c r="G364" i="63" s="1"/>
  <c r="G365" i="63" s="1"/>
  <c r="G357" i="63"/>
  <c r="G356" i="63" s="1"/>
  <c r="G354" i="63" s="1"/>
  <c r="J336" i="63"/>
  <c r="J331" i="63"/>
  <c r="J330" i="63"/>
  <c r="J329" i="63"/>
  <c r="J327" i="63"/>
  <c r="J326" i="63"/>
  <c r="J325" i="63"/>
  <c r="J322" i="63"/>
  <c r="J321" i="63"/>
  <c r="J320" i="63"/>
  <c r="J317" i="63"/>
  <c r="J316" i="63"/>
  <c r="J315" i="63"/>
  <c r="J312" i="63"/>
  <c r="J311" i="63"/>
  <c r="J310" i="63"/>
  <c r="J307" i="63"/>
  <c r="J306" i="63"/>
  <c r="J305" i="63"/>
  <c r="J302" i="63"/>
  <c r="J301" i="63"/>
  <c r="J300" i="63"/>
  <c r="J295" i="63"/>
  <c r="J278" i="63"/>
  <c r="J277" i="63"/>
  <c r="J276" i="63"/>
  <c r="G282" i="63"/>
  <c r="G287" i="63" s="1"/>
  <c r="J287" i="63" s="1"/>
  <c r="G283" i="63"/>
  <c r="G288" i="63" s="1"/>
  <c r="J288" i="63" s="1"/>
  <c r="G281" i="63"/>
  <c r="J281" i="63" s="1"/>
  <c r="G263" i="63"/>
  <c r="G250" i="63"/>
  <c r="G251" i="63" s="1"/>
  <c r="G252" i="63" s="1"/>
  <c r="G244" i="63"/>
  <c r="G245" i="63" s="1"/>
  <c r="G246" i="63" s="1"/>
  <c r="G242" i="63"/>
  <c r="G239" i="63" s="1"/>
  <c r="G238" i="63" s="1"/>
  <c r="G234" i="63"/>
  <c r="G212" i="63"/>
  <c r="G207" i="63"/>
  <c r="G185" i="63"/>
  <c r="G186" i="63" s="1"/>
  <c r="G178" i="63"/>
  <c r="G170" i="63"/>
  <c r="G168" i="63" s="1"/>
  <c r="G166" i="63" s="1"/>
  <c r="G167" i="63" s="1"/>
  <c r="G172" i="63"/>
  <c r="G173" i="63" s="1"/>
  <c r="G174" i="63" s="1"/>
  <c r="G149" i="63"/>
  <c r="G132" i="63"/>
  <c r="G131" i="63"/>
  <c r="G98" i="63"/>
  <c r="G83" i="63"/>
  <c r="G84" i="63" s="1"/>
  <c r="G85" i="63" s="1"/>
  <c r="G86" i="63" s="1"/>
  <c r="G87" i="63" s="1"/>
  <c r="G88" i="63" s="1"/>
  <c r="G89" i="63" s="1"/>
  <c r="G91" i="63" s="1"/>
  <c r="G65" i="63"/>
  <c r="G66" i="63" s="1"/>
  <c r="G67" i="63" s="1"/>
  <c r="G68" i="63" s="1"/>
  <c r="G69" i="63" s="1"/>
  <c r="G70" i="63" s="1"/>
  <c r="G71" i="63" s="1"/>
  <c r="G14" i="63"/>
  <c r="K319" i="63" l="1"/>
  <c r="G180" i="63"/>
  <c r="G179" i="63"/>
  <c r="K179" i="63" s="1"/>
  <c r="G358" i="63"/>
  <c r="G359" i="63" s="1"/>
  <c r="G360" i="63" s="1"/>
  <c r="U81" i="54"/>
  <c r="F89" i="43"/>
  <c r="U56" i="52"/>
  <c r="F556" i="43" s="1"/>
  <c r="G409" i="63"/>
  <c r="J282" i="63"/>
  <c r="G381" i="63"/>
  <c r="G382" i="63" s="1"/>
  <c r="G384" i="63"/>
  <c r="G383" i="63" s="1"/>
  <c r="G387" i="63"/>
  <c r="G388" i="63" s="1"/>
  <c r="G389" i="63" s="1"/>
  <c r="G352" i="63"/>
  <c r="G353" i="63" s="1"/>
  <c r="G355" i="63"/>
  <c r="K324" i="63"/>
  <c r="K334" i="63"/>
  <c r="K309" i="63"/>
  <c r="K314" i="63"/>
  <c r="G241" i="63"/>
  <c r="J283" i="63"/>
  <c r="G286" i="63"/>
  <c r="J286" i="63" s="1"/>
  <c r="K285" i="63" s="1"/>
  <c r="G292" i="63" s="1"/>
  <c r="G240" i="63"/>
  <c r="K299" i="63"/>
  <c r="K304" i="63"/>
  <c r="K275" i="63"/>
  <c r="G291" i="63" s="1"/>
  <c r="G169" i="63"/>
  <c r="K280" i="63" l="1"/>
  <c r="G408" i="63"/>
  <c r="G407" i="63" s="1"/>
  <c r="G406" i="63"/>
  <c r="G405" i="63" s="1"/>
  <c r="J291" i="63"/>
  <c r="J296" i="63"/>
  <c r="J292" i="63"/>
  <c r="J297" i="63"/>
  <c r="K290" i="63" l="1"/>
  <c r="K294" i="63"/>
  <c r="G51" i="63" l="1"/>
  <c r="G47" i="63"/>
  <c r="K47" i="63" s="1"/>
  <c r="G29" i="63"/>
  <c r="K29" i="63" s="1"/>
  <c r="G32" i="63"/>
  <c r="K32" i="63" s="1"/>
  <c r="K472" i="63"/>
  <c r="F878" i="43" s="1"/>
  <c r="K471" i="63"/>
  <c r="K470" i="63"/>
  <c r="K469" i="63"/>
  <c r="K468" i="63"/>
  <c r="F874" i="43" s="1"/>
  <c r="K467" i="63"/>
  <c r="K466" i="63"/>
  <c r="K465" i="63"/>
  <c r="K464" i="63"/>
  <c r="F870" i="43" s="1"/>
  <c r="K463" i="63"/>
  <c r="K462" i="63"/>
  <c r="K461" i="63"/>
  <c r="F867" i="43" s="1"/>
  <c r="K460" i="63"/>
  <c r="K459" i="63"/>
  <c r="K458" i="63"/>
  <c r="F864" i="43" s="1"/>
  <c r="K457" i="63"/>
  <c r="K456" i="63"/>
  <c r="K455" i="63"/>
  <c r="K454" i="63"/>
  <c r="F860" i="43" s="1"/>
  <c r="K453" i="63"/>
  <c r="K447" i="63"/>
  <c r="F853" i="43" s="1"/>
  <c r="K446" i="63"/>
  <c r="K441" i="63"/>
  <c r="K430" i="63"/>
  <c r="K429" i="63"/>
  <c r="K428" i="63"/>
  <c r="K427" i="63"/>
  <c r="F833" i="43" s="1"/>
  <c r="K426" i="63"/>
  <c r="K425" i="63"/>
  <c r="K424" i="63"/>
  <c r="K423" i="63"/>
  <c r="F829" i="43" s="1"/>
  <c r="K421" i="63"/>
  <c r="K420" i="63"/>
  <c r="K419" i="63"/>
  <c r="K418" i="63"/>
  <c r="F824" i="43" s="1"/>
  <c r="K417" i="63"/>
  <c r="K416" i="63"/>
  <c r="K415" i="63"/>
  <c r="K414" i="63"/>
  <c r="K413" i="63"/>
  <c r="K412" i="63"/>
  <c r="F818" i="43" s="1"/>
  <c r="K411" i="63"/>
  <c r="K410" i="63"/>
  <c r="K409" i="63"/>
  <c r="K408" i="63"/>
  <c r="K407" i="63"/>
  <c r="K406" i="63"/>
  <c r="K405" i="63"/>
  <c r="K404" i="63"/>
  <c r="K403" i="63"/>
  <c r="K402" i="63"/>
  <c r="K401" i="63"/>
  <c r="K400" i="63"/>
  <c r="K399" i="63"/>
  <c r="K396" i="63"/>
  <c r="K395" i="63"/>
  <c r="K394" i="63"/>
  <c r="K393" i="63"/>
  <c r="K392" i="63"/>
  <c r="K391" i="63"/>
  <c r="K389" i="63"/>
  <c r="K388" i="63"/>
  <c r="K387" i="63"/>
  <c r="K386" i="63"/>
  <c r="K385" i="63"/>
  <c r="K384" i="63"/>
  <c r="K383" i="63"/>
  <c r="K382" i="63"/>
  <c r="K381" i="63"/>
  <c r="K380" i="63"/>
  <c r="K379" i="63"/>
  <c r="K378" i="63"/>
  <c r="K377" i="63"/>
  <c r="K376" i="63"/>
  <c r="K375" i="63"/>
  <c r="K374" i="63"/>
  <c r="K373" i="63"/>
  <c r="K372" i="63"/>
  <c r="K371" i="63"/>
  <c r="K368" i="63"/>
  <c r="F774" i="43" s="1"/>
  <c r="K366" i="63"/>
  <c r="K365" i="63"/>
  <c r="K364" i="63"/>
  <c r="K363" i="63"/>
  <c r="K362" i="63"/>
  <c r="K361" i="63"/>
  <c r="K360" i="63"/>
  <c r="K359" i="63"/>
  <c r="K358" i="63"/>
  <c r="K357" i="63"/>
  <c r="K356" i="63"/>
  <c r="K355" i="63"/>
  <c r="K354" i="63"/>
  <c r="K353" i="63"/>
  <c r="K352" i="63"/>
  <c r="K351" i="63"/>
  <c r="K350" i="63"/>
  <c r="K349" i="63"/>
  <c r="K348" i="63"/>
  <c r="K347" i="63"/>
  <c r="K346" i="63"/>
  <c r="F682" i="43" s="1"/>
  <c r="K345" i="63"/>
  <c r="K344" i="63"/>
  <c r="K343" i="63"/>
  <c r="K342" i="63"/>
  <c r="K341" i="63"/>
  <c r="K340" i="63"/>
  <c r="K339" i="63"/>
  <c r="K338" i="63"/>
  <c r="F652" i="43"/>
  <c r="F646" i="43"/>
  <c r="K274" i="63"/>
  <c r="K273" i="63"/>
  <c r="K272" i="63"/>
  <c r="K271" i="63"/>
  <c r="K270" i="63"/>
  <c r="K269" i="63"/>
  <c r="K268" i="63"/>
  <c r="K267" i="63"/>
  <c r="K266" i="63"/>
  <c r="K265" i="63"/>
  <c r="K263" i="63"/>
  <c r="K262" i="63"/>
  <c r="K261" i="63"/>
  <c r="K260" i="63"/>
  <c r="K259" i="63"/>
  <c r="K255" i="63"/>
  <c r="K253" i="63"/>
  <c r="K252" i="63"/>
  <c r="K251" i="63"/>
  <c r="K250" i="63"/>
  <c r="K249" i="63"/>
  <c r="K248" i="63"/>
  <c r="K246" i="63"/>
  <c r="K245" i="63"/>
  <c r="K244" i="63"/>
  <c r="K243" i="63"/>
  <c r="K242" i="63"/>
  <c r="K241" i="63"/>
  <c r="K240" i="63"/>
  <c r="K239" i="63"/>
  <c r="K238" i="63"/>
  <c r="K237" i="63"/>
  <c r="K236" i="63"/>
  <c r="K235" i="63"/>
  <c r="K234" i="63"/>
  <c r="K233" i="63"/>
  <c r="K232" i="63"/>
  <c r="K231" i="63"/>
  <c r="K230" i="63"/>
  <c r="K229" i="63"/>
  <c r="K227" i="63"/>
  <c r="K226" i="63"/>
  <c r="K225" i="63"/>
  <c r="K224" i="63"/>
  <c r="K223" i="63"/>
  <c r="K222" i="63"/>
  <c r="K221" i="63"/>
  <c r="K220" i="63"/>
  <c r="K219" i="63"/>
  <c r="K212" i="63"/>
  <c r="K211" i="63"/>
  <c r="K210" i="63"/>
  <c r="K209" i="63"/>
  <c r="K208" i="63"/>
  <c r="K207" i="63"/>
  <c r="K206" i="63"/>
  <c r="K205" i="63"/>
  <c r="K204" i="63"/>
  <c r="K203" i="63"/>
  <c r="K202" i="63"/>
  <c r="K201" i="63"/>
  <c r="K200" i="63"/>
  <c r="K198" i="63"/>
  <c r="K197" i="63"/>
  <c r="K196" i="63"/>
  <c r="F440" i="43" s="1"/>
  <c r="K195" i="63"/>
  <c r="K194" i="63"/>
  <c r="K193" i="63"/>
  <c r="K192" i="63"/>
  <c r="K191" i="63"/>
  <c r="K190" i="63"/>
  <c r="K189" i="63"/>
  <c r="K188" i="63"/>
  <c r="K187" i="63"/>
  <c r="K186" i="63"/>
  <c r="K185" i="63"/>
  <c r="K184" i="63"/>
  <c r="K183" i="63"/>
  <c r="K182" i="63"/>
  <c r="K181" i="63"/>
  <c r="K180" i="63"/>
  <c r="K178" i="63"/>
  <c r="K177" i="63"/>
  <c r="K176" i="63"/>
  <c r="K174" i="63"/>
  <c r="K173" i="63"/>
  <c r="K172" i="63"/>
  <c r="K171" i="63"/>
  <c r="K170" i="63"/>
  <c r="K169" i="63"/>
  <c r="K168" i="63"/>
  <c r="K167" i="63"/>
  <c r="K166" i="63"/>
  <c r="K165" i="63"/>
  <c r="K164" i="63"/>
  <c r="K163" i="63"/>
  <c r="K162" i="63"/>
  <c r="K161" i="63"/>
  <c r="K159" i="63"/>
  <c r="K158" i="63"/>
  <c r="K149" i="63"/>
  <c r="K148" i="63"/>
  <c r="K147" i="63"/>
  <c r="K146" i="63"/>
  <c r="K145" i="63"/>
  <c r="K144" i="63"/>
  <c r="K143" i="63"/>
  <c r="K142" i="63"/>
  <c r="K141" i="63"/>
  <c r="K139" i="63"/>
  <c r="K138" i="63"/>
  <c r="K137" i="63"/>
  <c r="K136" i="63"/>
  <c r="K135" i="63"/>
  <c r="K134" i="63"/>
  <c r="K133" i="63"/>
  <c r="K132" i="63"/>
  <c r="F307" i="43" s="1"/>
  <c r="K131" i="63"/>
  <c r="K130" i="63"/>
  <c r="K129" i="63"/>
  <c r="K128" i="63"/>
  <c r="K127" i="63"/>
  <c r="K126" i="63"/>
  <c r="K125" i="63"/>
  <c r="K124" i="63"/>
  <c r="K123" i="63"/>
  <c r="K122" i="63"/>
  <c r="K121" i="63"/>
  <c r="K120" i="63"/>
  <c r="K118" i="63"/>
  <c r="K117" i="63"/>
  <c r="K116" i="63"/>
  <c r="K115" i="63"/>
  <c r="K114" i="63"/>
  <c r="K113" i="63"/>
  <c r="K112" i="63"/>
  <c r="K111" i="63"/>
  <c r="K110" i="63"/>
  <c r="K109" i="63"/>
  <c r="K108" i="63"/>
  <c r="K107" i="63"/>
  <c r="K98" i="63"/>
  <c r="K97" i="63"/>
  <c r="K96" i="63"/>
  <c r="K95" i="63"/>
  <c r="K94" i="63"/>
  <c r="K93" i="63"/>
  <c r="K91" i="63"/>
  <c r="K90" i="63"/>
  <c r="K89" i="63"/>
  <c r="K88" i="63"/>
  <c r="K87" i="63"/>
  <c r="K86" i="63"/>
  <c r="K85" i="63"/>
  <c r="K84" i="63"/>
  <c r="K83" i="63"/>
  <c r="K82" i="63"/>
  <c r="K81" i="63"/>
  <c r="K80" i="63"/>
  <c r="K79" i="63"/>
  <c r="K78" i="63"/>
  <c r="K77" i="63"/>
  <c r="K76" i="63"/>
  <c r="F193" i="43" s="1"/>
  <c r="K75" i="63"/>
  <c r="K74" i="63"/>
  <c r="K73" i="63"/>
  <c r="K72" i="63"/>
  <c r="K71" i="63"/>
  <c r="K70" i="63"/>
  <c r="K69" i="63"/>
  <c r="K68" i="63"/>
  <c r="K67" i="63"/>
  <c r="K66" i="63"/>
  <c r="K65" i="63"/>
  <c r="K64" i="63"/>
  <c r="K63" i="63"/>
  <c r="K62" i="63"/>
  <c r="K61" i="63"/>
  <c r="F131" i="43" s="1"/>
  <c r="K60" i="63"/>
  <c r="K59" i="63"/>
  <c r="K58" i="63"/>
  <c r="K57" i="63"/>
  <c r="K56" i="63"/>
  <c r="K55" i="63"/>
  <c r="K54" i="63"/>
  <c r="K53" i="63"/>
  <c r="K52" i="63"/>
  <c r="K50" i="63"/>
  <c r="K49" i="63"/>
  <c r="K48" i="63"/>
  <c r="K45" i="63"/>
  <c r="K44" i="63"/>
  <c r="K43" i="63"/>
  <c r="K42" i="63"/>
  <c r="K41" i="63"/>
  <c r="K40" i="63"/>
  <c r="K39" i="63"/>
  <c r="K38" i="63"/>
  <c r="K37" i="63"/>
  <c r="K36" i="63"/>
  <c r="K35" i="63"/>
  <c r="K34" i="63"/>
  <c r="K33" i="63"/>
  <c r="K31" i="63"/>
  <c r="K30" i="63"/>
  <c r="K27" i="63"/>
  <c r="K26" i="63"/>
  <c r="K25" i="63"/>
  <c r="K24" i="63"/>
  <c r="K23" i="63"/>
  <c r="K22" i="63"/>
  <c r="K21" i="63"/>
  <c r="K20" i="63"/>
  <c r="K19" i="63"/>
  <c r="K18" i="63"/>
  <c r="K14" i="63"/>
  <c r="F858" i="43"/>
  <c r="F835" i="43"/>
  <c r="F644" i="43"/>
  <c r="F648" i="43"/>
  <c r="F653" i="43"/>
  <c r="F635" i="43"/>
  <c r="F740" i="43"/>
  <c r="F741" i="43"/>
  <c r="F742" i="43"/>
  <c r="F727" i="43"/>
  <c r="F728" i="43"/>
  <c r="F729" i="43"/>
  <c r="F730" i="43"/>
  <c r="F731" i="43"/>
  <c r="F732" i="43"/>
  <c r="F733" i="43"/>
  <c r="F734" i="43"/>
  <c r="F735" i="43"/>
  <c r="F736" i="43"/>
  <c r="F737" i="43"/>
  <c r="F738" i="43"/>
  <c r="F739" i="43"/>
  <c r="F726" i="43"/>
  <c r="F549" i="43"/>
  <c r="F550" i="43"/>
  <c r="F551" i="43"/>
  <c r="F552" i="43"/>
  <c r="F548" i="43"/>
  <c r="F397" i="43"/>
  <c r="F398" i="43"/>
  <c r="F396" i="43"/>
  <c r="F279" i="43"/>
  <c r="F280" i="43"/>
  <c r="F281" i="43"/>
  <c r="F278" i="43"/>
  <c r="F80" i="43"/>
  <c r="F81" i="43"/>
  <c r="F82" i="43"/>
  <c r="F83" i="43"/>
  <c r="F84" i="43"/>
  <c r="F85" i="43"/>
  <c r="F79" i="43"/>
  <c r="BG54" i="61"/>
  <c r="BF54" i="61"/>
  <c r="BE54" i="61"/>
  <c r="BD54" i="61"/>
  <c r="BC54" i="61"/>
  <c r="BB54" i="61"/>
  <c r="BG53" i="61"/>
  <c r="BF53" i="61"/>
  <c r="BE53" i="61"/>
  <c r="BD53" i="61"/>
  <c r="BC53" i="61"/>
  <c r="BB53" i="61"/>
  <c r="BG52" i="61"/>
  <c r="BF52" i="61"/>
  <c r="BD52" i="61"/>
  <c r="BC52" i="61"/>
  <c r="BB52" i="61"/>
  <c r="BG51" i="61"/>
  <c r="BF51" i="61"/>
  <c r="BE51" i="61"/>
  <c r="BC51" i="61"/>
  <c r="BB51" i="61"/>
  <c r="BG50" i="61"/>
  <c r="BF50" i="61"/>
  <c r="BE50" i="61"/>
  <c r="BD50" i="61"/>
  <c r="BC50" i="61"/>
  <c r="BG49" i="61"/>
  <c r="BF49" i="61"/>
  <c r="BE49" i="61"/>
  <c r="BD49" i="61"/>
  <c r="BC49" i="61"/>
  <c r="BB49" i="61"/>
  <c r="BG48" i="61"/>
  <c r="BF48" i="61"/>
  <c r="BE48" i="61"/>
  <c r="BD48" i="61"/>
  <c r="BC48" i="61"/>
  <c r="BB48" i="61"/>
  <c r="BG47" i="61"/>
  <c r="BF47" i="61"/>
  <c r="BE47" i="61"/>
  <c r="BD47" i="61"/>
  <c r="BC47" i="61"/>
  <c r="BB47" i="61"/>
  <c r="BG46" i="61"/>
  <c r="BF46" i="61"/>
  <c r="BE46" i="61"/>
  <c r="BD46" i="61"/>
  <c r="BC46" i="61"/>
  <c r="BB46" i="61"/>
  <c r="BG45" i="61"/>
  <c r="BF45" i="61"/>
  <c r="BE45" i="61"/>
  <c r="BD45" i="61"/>
  <c r="BC45" i="61"/>
  <c r="BB45" i="61"/>
  <c r="BG44" i="61"/>
  <c r="BF44" i="61"/>
  <c r="BE44" i="61"/>
  <c r="BD44" i="61"/>
  <c r="BC44" i="61"/>
  <c r="BB44" i="61"/>
  <c r="BG43" i="61"/>
  <c r="BF43" i="61"/>
  <c r="BE43" i="61"/>
  <c r="BD43" i="61"/>
  <c r="BC43" i="61"/>
  <c r="BB43" i="61"/>
  <c r="BG42" i="61"/>
  <c r="BF42" i="61"/>
  <c r="BE42" i="61"/>
  <c r="BD42" i="61"/>
  <c r="BC42" i="61"/>
  <c r="BB42" i="61"/>
  <c r="BG41" i="61"/>
  <c r="BF41" i="61"/>
  <c r="BE41" i="61"/>
  <c r="BD41" i="61"/>
  <c r="BC41" i="61"/>
  <c r="BB41" i="61"/>
  <c r="BG40" i="61"/>
  <c r="BF40" i="61"/>
  <c r="BE40" i="61"/>
  <c r="BD40" i="61"/>
  <c r="BC40" i="61"/>
  <c r="BB40" i="61"/>
  <c r="BG39" i="61"/>
  <c r="BF39" i="61"/>
  <c r="BE39" i="61"/>
  <c r="BD39" i="61"/>
  <c r="BC39" i="61"/>
  <c r="BB39" i="61"/>
  <c r="BG38" i="61"/>
  <c r="BF38" i="61"/>
  <c r="BE38" i="61"/>
  <c r="BD38" i="61"/>
  <c r="BC38" i="61"/>
  <c r="BB38" i="61"/>
  <c r="BG37" i="61"/>
  <c r="BF37" i="61"/>
  <c r="BE37" i="61"/>
  <c r="BD37" i="61"/>
  <c r="BC37" i="61"/>
  <c r="BB37" i="61"/>
  <c r="BG36" i="61"/>
  <c r="BF36" i="61"/>
  <c r="BE36" i="61"/>
  <c r="BD36" i="61"/>
  <c r="BC36" i="61"/>
  <c r="BB36" i="61"/>
  <c r="BG34" i="61"/>
  <c r="BF34" i="61"/>
  <c r="BE34" i="61"/>
  <c r="BD34" i="61"/>
  <c r="BC34" i="61"/>
  <c r="BB34" i="61"/>
  <c r="BG33" i="61"/>
  <c r="BF33" i="61"/>
  <c r="BE33" i="61"/>
  <c r="BD33" i="61"/>
  <c r="BC33" i="61"/>
  <c r="BB33" i="61"/>
  <c r="BG32" i="61"/>
  <c r="BF32" i="61"/>
  <c r="BE32" i="61"/>
  <c r="BD32" i="61"/>
  <c r="BC32" i="61"/>
  <c r="BB32" i="61"/>
  <c r="BG31" i="61"/>
  <c r="BF31" i="61"/>
  <c r="BE31" i="61"/>
  <c r="BD31" i="61"/>
  <c r="BC31" i="61"/>
  <c r="BB31" i="61"/>
  <c r="BG30" i="61"/>
  <c r="BF30" i="61"/>
  <c r="BE30" i="61"/>
  <c r="BD30" i="61"/>
  <c r="BC30" i="61"/>
  <c r="BB30" i="61"/>
  <c r="BG29" i="61"/>
  <c r="BF29" i="61"/>
  <c r="BE29" i="61"/>
  <c r="BD29" i="61"/>
  <c r="BC29" i="61"/>
  <c r="BB29" i="61"/>
  <c r="BG28" i="61"/>
  <c r="BF28" i="61"/>
  <c r="BE28" i="61"/>
  <c r="BD28" i="61"/>
  <c r="BC28" i="61"/>
  <c r="BB28" i="61"/>
  <c r="BG27" i="61"/>
  <c r="BF27" i="61"/>
  <c r="BE27" i="61"/>
  <c r="BD27" i="61"/>
  <c r="BC27" i="61"/>
  <c r="BB27" i="61"/>
  <c r="BG26" i="61"/>
  <c r="BF26" i="61"/>
  <c r="BE26" i="61"/>
  <c r="BD26" i="61"/>
  <c r="BC26" i="61"/>
  <c r="BB26" i="61"/>
  <c r="BG25" i="61"/>
  <c r="BF25" i="61"/>
  <c r="BE25" i="61"/>
  <c r="BD25" i="61"/>
  <c r="BC25" i="61"/>
  <c r="BB25" i="61"/>
  <c r="BG24" i="61"/>
  <c r="BF24" i="61"/>
  <c r="BE24" i="61"/>
  <c r="BD24" i="61"/>
  <c r="BC24" i="61"/>
  <c r="BB24" i="61"/>
  <c r="BG23" i="61"/>
  <c r="BF23" i="61"/>
  <c r="BE23" i="61"/>
  <c r="BD23" i="61"/>
  <c r="BC23" i="61"/>
  <c r="BB23" i="61"/>
  <c r="BG22" i="61"/>
  <c r="BF22" i="61"/>
  <c r="BE22" i="61"/>
  <c r="BD22" i="61"/>
  <c r="BC22" i="61"/>
  <c r="BB22" i="61"/>
  <c r="BG21" i="61"/>
  <c r="BF21" i="61"/>
  <c r="BE21" i="61"/>
  <c r="BD21" i="61"/>
  <c r="BC21" i="61"/>
  <c r="BB21" i="61"/>
  <c r="BG20" i="61"/>
  <c r="BF20" i="61"/>
  <c r="BE20" i="61"/>
  <c r="BD20" i="61"/>
  <c r="BC20" i="61"/>
  <c r="BB20" i="61"/>
  <c r="BG19" i="61"/>
  <c r="BF19" i="61"/>
  <c r="BE19" i="61"/>
  <c r="BD19" i="61"/>
  <c r="BC19" i="61"/>
  <c r="BB19" i="61"/>
  <c r="BG18" i="61"/>
  <c r="BF18" i="61"/>
  <c r="BE18" i="61"/>
  <c r="BD18" i="61"/>
  <c r="BC18" i="61"/>
  <c r="BB18" i="61"/>
  <c r="BG17" i="61"/>
  <c r="BF17" i="61"/>
  <c r="BE17" i="61"/>
  <c r="BD17" i="61"/>
  <c r="BC17" i="61"/>
  <c r="BB17" i="61"/>
  <c r="BG16" i="61"/>
  <c r="BF16" i="61"/>
  <c r="BE16" i="61"/>
  <c r="BD16" i="61"/>
  <c r="BC16" i="61"/>
  <c r="BB16" i="61"/>
  <c r="BG15" i="61"/>
  <c r="BF15" i="61"/>
  <c r="BE15" i="61"/>
  <c r="BD15" i="61"/>
  <c r="BC15" i="61"/>
  <c r="BB15" i="61"/>
  <c r="BG14" i="61"/>
  <c r="BF14" i="61"/>
  <c r="BE14" i="61"/>
  <c r="BD14" i="61"/>
  <c r="BC14" i="61"/>
  <c r="BB14" i="61"/>
  <c r="BA54" i="61"/>
  <c r="AZ54" i="61"/>
  <c r="AY54" i="61"/>
  <c r="AX54" i="61"/>
  <c r="AW54" i="61"/>
  <c r="AV54" i="61"/>
  <c r="BA53" i="61"/>
  <c r="AZ53" i="61"/>
  <c r="AY53" i="61"/>
  <c r="AX53" i="61"/>
  <c r="AW53" i="61"/>
  <c r="AV53" i="61"/>
  <c r="BA52" i="61"/>
  <c r="AZ52" i="61"/>
  <c r="AY52" i="61"/>
  <c r="AX52" i="61"/>
  <c r="AW52" i="61"/>
  <c r="AV52" i="61"/>
  <c r="BA51" i="61"/>
  <c r="AZ51" i="61"/>
  <c r="AY51" i="61"/>
  <c r="AX51" i="61"/>
  <c r="AW51" i="61"/>
  <c r="AV51" i="61"/>
  <c r="BA50" i="61"/>
  <c r="AZ50" i="61"/>
  <c r="AY50" i="61"/>
  <c r="AX50" i="61"/>
  <c r="AW50" i="61"/>
  <c r="AV50" i="61"/>
  <c r="BA49" i="61"/>
  <c r="AZ49" i="61"/>
  <c r="AX49" i="61"/>
  <c r="AW49" i="61"/>
  <c r="AV49" i="61"/>
  <c r="BA48" i="61"/>
  <c r="AZ48" i="61"/>
  <c r="AY48" i="61"/>
  <c r="AX48" i="61"/>
  <c r="AW48" i="61"/>
  <c r="AV48" i="61"/>
  <c r="BA47" i="61"/>
  <c r="AZ47" i="61"/>
  <c r="AY47" i="61"/>
  <c r="AX47" i="61"/>
  <c r="AW47" i="61"/>
  <c r="AV47" i="61"/>
  <c r="BA46" i="61"/>
  <c r="AZ46" i="61"/>
  <c r="AY46" i="61"/>
  <c r="AX46" i="61"/>
  <c r="AW46" i="61"/>
  <c r="AV46" i="61"/>
  <c r="BA45" i="61"/>
  <c r="AZ45" i="61"/>
  <c r="AY45" i="61"/>
  <c r="AX45" i="61"/>
  <c r="AW45" i="61"/>
  <c r="AV45" i="61"/>
  <c r="BA44" i="61"/>
  <c r="AZ44" i="61"/>
  <c r="AY44" i="61"/>
  <c r="AX44" i="61"/>
  <c r="AW44" i="61"/>
  <c r="AV44" i="61"/>
  <c r="BA43" i="61"/>
  <c r="AZ43" i="61"/>
  <c r="AY43" i="61"/>
  <c r="AX43" i="61"/>
  <c r="AW43" i="61"/>
  <c r="AV43" i="61"/>
  <c r="BA42" i="61"/>
  <c r="AZ42" i="61"/>
  <c r="AY42" i="61"/>
  <c r="AX42" i="61"/>
  <c r="AW42" i="61"/>
  <c r="AV42" i="61"/>
  <c r="BA41" i="61"/>
  <c r="AZ41" i="61"/>
  <c r="AY41" i="61"/>
  <c r="AX41" i="61"/>
  <c r="AW41" i="61"/>
  <c r="AV41" i="61"/>
  <c r="BA40" i="61"/>
  <c r="AZ40" i="61"/>
  <c r="AY40" i="61"/>
  <c r="AX40" i="61"/>
  <c r="AW40" i="61"/>
  <c r="AV40" i="61"/>
  <c r="BA39" i="61"/>
  <c r="AZ39" i="61"/>
  <c r="AY39" i="61"/>
  <c r="AX39" i="61"/>
  <c r="AW39" i="61"/>
  <c r="AV39" i="61"/>
  <c r="BA38" i="61"/>
  <c r="AZ38" i="61"/>
  <c r="AY38" i="61"/>
  <c r="AX38" i="61"/>
  <c r="AW38" i="61"/>
  <c r="AV38" i="61"/>
  <c r="BA37" i="61"/>
  <c r="AZ37" i="61"/>
  <c r="AY37" i="61"/>
  <c r="AX37" i="61"/>
  <c r="AW37" i="61"/>
  <c r="AV37" i="61"/>
  <c r="BA36" i="61"/>
  <c r="AZ36" i="61"/>
  <c r="AY36" i="61"/>
  <c r="AX36" i="61"/>
  <c r="AW36" i="61"/>
  <c r="AV36" i="61"/>
  <c r="BA35" i="61"/>
  <c r="AZ35" i="61"/>
  <c r="AY35" i="61"/>
  <c r="AX35" i="61"/>
  <c r="AW35" i="61"/>
  <c r="AV35" i="61"/>
  <c r="BA34" i="61"/>
  <c r="AZ34" i="61"/>
  <c r="AY34" i="61"/>
  <c r="AX34" i="61"/>
  <c r="AW34" i="61"/>
  <c r="AV34" i="61"/>
  <c r="BA33" i="61"/>
  <c r="AZ33" i="61"/>
  <c r="AY33" i="61"/>
  <c r="AX33" i="61"/>
  <c r="AW33" i="61"/>
  <c r="AV33" i="61"/>
  <c r="BA32" i="61"/>
  <c r="AZ32" i="61"/>
  <c r="AY32" i="61"/>
  <c r="AX32" i="61"/>
  <c r="AW32" i="61"/>
  <c r="AV32" i="61"/>
  <c r="BA31" i="61"/>
  <c r="AZ31" i="61"/>
  <c r="AY31" i="61"/>
  <c r="AX31" i="61"/>
  <c r="AW31" i="61"/>
  <c r="AV31" i="61"/>
  <c r="BA30" i="61"/>
  <c r="AZ30" i="61"/>
  <c r="AY30" i="61"/>
  <c r="AX30" i="61"/>
  <c r="AW30" i="61"/>
  <c r="AV30" i="61"/>
  <c r="BA29" i="61"/>
  <c r="AZ29" i="61"/>
  <c r="AY29" i="61"/>
  <c r="AX29" i="61"/>
  <c r="AW29" i="61"/>
  <c r="AV29" i="61"/>
  <c r="BA28" i="61"/>
  <c r="AZ28" i="61"/>
  <c r="AY28" i="61"/>
  <c r="AX28" i="61"/>
  <c r="AW28" i="61"/>
  <c r="AV28" i="61"/>
  <c r="BA27" i="61"/>
  <c r="AZ27" i="61"/>
  <c r="AY27" i="61"/>
  <c r="AX27" i="61"/>
  <c r="AW27" i="61"/>
  <c r="AV27" i="61"/>
  <c r="BA26" i="61"/>
  <c r="AZ26" i="61"/>
  <c r="AY26" i="61"/>
  <c r="AX26" i="61"/>
  <c r="AW26" i="61"/>
  <c r="AV26" i="61"/>
  <c r="BA25" i="61"/>
  <c r="AZ25" i="61"/>
  <c r="AY25" i="61"/>
  <c r="AX25" i="61"/>
  <c r="AW25" i="61"/>
  <c r="AV25" i="61"/>
  <c r="BA24" i="61"/>
  <c r="AZ24" i="61"/>
  <c r="AY24" i="61"/>
  <c r="AX24" i="61"/>
  <c r="AW24" i="61"/>
  <c r="AV24" i="61"/>
  <c r="BA23" i="61"/>
  <c r="AZ23" i="61"/>
  <c r="AY23" i="61"/>
  <c r="AX23" i="61"/>
  <c r="AW23" i="61"/>
  <c r="AV23" i="61"/>
  <c r="BA22" i="61"/>
  <c r="AZ22" i="61"/>
  <c r="AY22" i="61"/>
  <c r="AX22" i="61"/>
  <c r="AW22" i="61"/>
  <c r="AV22" i="61"/>
  <c r="BA21" i="61"/>
  <c r="AZ21" i="61"/>
  <c r="AY21" i="61"/>
  <c r="AX21" i="61"/>
  <c r="AW21" i="61"/>
  <c r="AV21" i="61"/>
  <c r="BA20" i="61"/>
  <c r="AZ20" i="61"/>
  <c r="AY20" i="61"/>
  <c r="AX20" i="61"/>
  <c r="AW20" i="61"/>
  <c r="AV20" i="61"/>
  <c r="BA19" i="61"/>
  <c r="AZ19" i="61"/>
  <c r="AY19" i="61"/>
  <c r="AX19" i="61"/>
  <c r="AW19" i="61"/>
  <c r="AV19" i="61"/>
  <c r="BA18" i="61"/>
  <c r="AZ18" i="61"/>
  <c r="AY18" i="61"/>
  <c r="AX18" i="61"/>
  <c r="AW18" i="61"/>
  <c r="AV18" i="61"/>
  <c r="BA17" i="61"/>
  <c r="AZ17" i="61"/>
  <c r="AY17" i="61"/>
  <c r="AX17" i="61"/>
  <c r="AW17" i="61"/>
  <c r="AV17" i="61"/>
  <c r="BA16" i="61"/>
  <c r="AZ16" i="61"/>
  <c r="AY16" i="61"/>
  <c r="AX16" i="61"/>
  <c r="AW16" i="61"/>
  <c r="AV16" i="61"/>
  <c r="BA15" i="61"/>
  <c r="AZ15" i="61"/>
  <c r="AY15" i="61"/>
  <c r="AX15" i="61"/>
  <c r="AW15" i="61"/>
  <c r="AV15" i="61"/>
  <c r="BA14" i="61"/>
  <c r="AZ14" i="61"/>
  <c r="AY14" i="61"/>
  <c r="AX14" i="61"/>
  <c r="AW14" i="61"/>
  <c r="AV14" i="61"/>
  <c r="AU54" i="61"/>
  <c r="AT54" i="61"/>
  <c r="AS54" i="61"/>
  <c r="AR54" i="61"/>
  <c r="AQ54" i="61"/>
  <c r="AP54" i="61"/>
  <c r="AU53" i="61"/>
  <c r="AT53" i="61"/>
  <c r="AS53" i="61"/>
  <c r="AQ53" i="61"/>
  <c r="AP53" i="61"/>
  <c r="AU52" i="61"/>
  <c r="AT52" i="61"/>
  <c r="AS52" i="61"/>
  <c r="AR52" i="61"/>
  <c r="AQ52" i="61"/>
  <c r="AP52" i="61"/>
  <c r="AU51" i="61"/>
  <c r="AT51" i="61"/>
  <c r="AS51" i="61"/>
  <c r="AR51" i="61"/>
  <c r="AQ51" i="61"/>
  <c r="AP51" i="61"/>
  <c r="AU50" i="61"/>
  <c r="AT50" i="61"/>
  <c r="AS50" i="61"/>
  <c r="AR50" i="61"/>
  <c r="AQ50" i="61"/>
  <c r="AP50" i="61"/>
  <c r="AU49" i="61"/>
  <c r="AT49" i="61"/>
  <c r="AS49" i="61"/>
  <c r="AR49" i="61"/>
  <c r="AQ49" i="61"/>
  <c r="AP49" i="61"/>
  <c r="AU48" i="61"/>
  <c r="AT48" i="61"/>
  <c r="AR48" i="61"/>
  <c r="AQ48" i="61"/>
  <c r="AP48" i="61"/>
  <c r="AU47" i="61"/>
  <c r="AT47" i="61"/>
  <c r="AS47" i="61"/>
  <c r="AR47" i="61"/>
  <c r="AQ47" i="61"/>
  <c r="AP47" i="61"/>
  <c r="AU46" i="61"/>
  <c r="AT46" i="61"/>
  <c r="AS46" i="61"/>
  <c r="AR46" i="61"/>
  <c r="AQ46" i="61"/>
  <c r="AP46" i="61"/>
  <c r="AU45" i="61"/>
  <c r="AT45" i="61"/>
  <c r="AS45" i="61"/>
  <c r="AR45" i="61"/>
  <c r="AQ45" i="61"/>
  <c r="AP45" i="61"/>
  <c r="AU44" i="61"/>
  <c r="AT44" i="61"/>
  <c r="AS44" i="61"/>
  <c r="AR44" i="61"/>
  <c r="AQ44" i="61"/>
  <c r="AP44" i="61"/>
  <c r="AU43" i="61"/>
  <c r="AT43" i="61"/>
  <c r="AS43" i="61"/>
  <c r="AR43" i="61"/>
  <c r="AQ43" i="61"/>
  <c r="AP43" i="61"/>
  <c r="AU42" i="61"/>
  <c r="AT42" i="61"/>
  <c r="AS42" i="61"/>
  <c r="AR42" i="61"/>
  <c r="AQ42" i="61"/>
  <c r="AP42" i="61"/>
  <c r="AU41" i="61"/>
  <c r="AT41" i="61"/>
  <c r="AS41" i="61"/>
  <c r="AR41" i="61"/>
  <c r="AQ41" i="61"/>
  <c r="AP41" i="61"/>
  <c r="AU40" i="61"/>
  <c r="AT40" i="61"/>
  <c r="AS40" i="61"/>
  <c r="AR40" i="61"/>
  <c r="AQ40" i="61"/>
  <c r="AP40" i="61"/>
  <c r="AU39" i="61"/>
  <c r="AT39" i="61"/>
  <c r="AS39" i="61"/>
  <c r="AR39" i="61"/>
  <c r="AQ39" i="61"/>
  <c r="AP39" i="61"/>
  <c r="AU38" i="61"/>
  <c r="AT38" i="61"/>
  <c r="AS38" i="61"/>
  <c r="AR38" i="61"/>
  <c r="AQ38" i="61"/>
  <c r="AP38" i="61"/>
  <c r="AU37" i="61"/>
  <c r="AT37" i="61"/>
  <c r="AS37" i="61"/>
  <c r="AR37" i="61"/>
  <c r="AQ37" i="61"/>
  <c r="AP37" i="61"/>
  <c r="AU36" i="61"/>
  <c r="AT36" i="61"/>
  <c r="AS36" i="61"/>
  <c r="AR36" i="61"/>
  <c r="AQ36" i="61"/>
  <c r="AP36" i="61"/>
  <c r="AU35" i="61"/>
  <c r="AT35" i="61"/>
  <c r="AS35" i="61"/>
  <c r="AR35" i="61"/>
  <c r="AQ35" i="61"/>
  <c r="AP35" i="61"/>
  <c r="AU34" i="61"/>
  <c r="AT34" i="61"/>
  <c r="AS34" i="61"/>
  <c r="AR34" i="61"/>
  <c r="AQ34" i="61"/>
  <c r="AP34" i="61"/>
  <c r="AU33" i="61"/>
  <c r="AT33" i="61"/>
  <c r="AS33" i="61"/>
  <c r="AR33" i="61"/>
  <c r="AQ33" i="61"/>
  <c r="AP33" i="61"/>
  <c r="AU32" i="61"/>
  <c r="AT32" i="61"/>
  <c r="AS32" i="61"/>
  <c r="AR32" i="61"/>
  <c r="AQ32" i="61"/>
  <c r="AP32" i="61"/>
  <c r="AU31" i="61"/>
  <c r="AT31" i="61"/>
  <c r="AS31" i="61"/>
  <c r="AR31" i="61"/>
  <c r="AQ31" i="61"/>
  <c r="AP31" i="61"/>
  <c r="AU30" i="61"/>
  <c r="AT30" i="61"/>
  <c r="AS30" i="61"/>
  <c r="AR30" i="61"/>
  <c r="AQ30" i="61"/>
  <c r="AP30" i="61"/>
  <c r="AU29" i="61"/>
  <c r="AT29" i="61"/>
  <c r="AS29" i="61"/>
  <c r="AR29" i="61"/>
  <c r="AQ29" i="61"/>
  <c r="AP29" i="61"/>
  <c r="AU28" i="61"/>
  <c r="AT28" i="61"/>
  <c r="AS28" i="61"/>
  <c r="AR28" i="61"/>
  <c r="AQ28" i="61"/>
  <c r="AP28" i="61"/>
  <c r="AU27" i="61"/>
  <c r="AT27" i="61"/>
  <c r="AS27" i="61"/>
  <c r="AR27" i="61"/>
  <c r="AQ27" i="61"/>
  <c r="AP27" i="61"/>
  <c r="AU26" i="61"/>
  <c r="AT26" i="61"/>
  <c r="AS26" i="61"/>
  <c r="AR26" i="61"/>
  <c r="AQ26" i="61"/>
  <c r="AP26" i="61"/>
  <c r="AU25" i="61"/>
  <c r="AT25" i="61"/>
  <c r="AS25" i="61"/>
  <c r="AR25" i="61"/>
  <c r="AQ25" i="61"/>
  <c r="AP25" i="61"/>
  <c r="AU24" i="61"/>
  <c r="AT24" i="61"/>
  <c r="AS24" i="61"/>
  <c r="AR24" i="61"/>
  <c r="AQ24" i="61"/>
  <c r="AP24" i="61"/>
  <c r="AU23" i="61"/>
  <c r="AT23" i="61"/>
  <c r="AS23" i="61"/>
  <c r="AR23" i="61"/>
  <c r="AQ23" i="61"/>
  <c r="AP23" i="61"/>
  <c r="AU22" i="61"/>
  <c r="AT22" i="61"/>
  <c r="AS22" i="61"/>
  <c r="AR22" i="61"/>
  <c r="AQ22" i="61"/>
  <c r="AP22" i="61"/>
  <c r="AU21" i="61"/>
  <c r="AT21" i="61"/>
  <c r="AS21" i="61"/>
  <c r="AR21" i="61"/>
  <c r="AQ21" i="61"/>
  <c r="AP21" i="61"/>
  <c r="AU20" i="61"/>
  <c r="AT20" i="61"/>
  <c r="AS20" i="61"/>
  <c r="AR20" i="61"/>
  <c r="AQ20" i="61"/>
  <c r="AP20" i="61"/>
  <c r="AU19" i="61"/>
  <c r="AT19" i="61"/>
  <c r="AS19" i="61"/>
  <c r="AR19" i="61"/>
  <c r="AQ19" i="61"/>
  <c r="AP19" i="61"/>
  <c r="AU18" i="61"/>
  <c r="AT18" i="61"/>
  <c r="AS18" i="61"/>
  <c r="AR18" i="61"/>
  <c r="AQ18" i="61"/>
  <c r="AP18" i="61"/>
  <c r="AU17" i="61"/>
  <c r="AT17" i="61"/>
  <c r="AS17" i="61"/>
  <c r="AR17" i="61"/>
  <c r="AQ17" i="61"/>
  <c r="AP17" i="61"/>
  <c r="AU16" i="61"/>
  <c r="AT16" i="61"/>
  <c r="AS16" i="61"/>
  <c r="AR16" i="61"/>
  <c r="AQ16" i="61"/>
  <c r="AP16" i="61"/>
  <c r="AU15" i="61"/>
  <c r="AT15" i="61"/>
  <c r="AS15" i="61"/>
  <c r="AR15" i="61"/>
  <c r="AQ15" i="61"/>
  <c r="AP15" i="61"/>
  <c r="AU14" i="61"/>
  <c r="AT14" i="61"/>
  <c r="AS14" i="61"/>
  <c r="AR14" i="61"/>
  <c r="AQ14" i="61"/>
  <c r="AP14" i="61"/>
  <c r="BM53" i="61"/>
  <c r="BL53" i="61"/>
  <c r="BK53" i="61"/>
  <c r="BJ53" i="61"/>
  <c r="BI53" i="61"/>
  <c r="BH53" i="61"/>
  <c r="AO53" i="61"/>
  <c r="AN53" i="61"/>
  <c r="AM53" i="61"/>
  <c r="AL53" i="61"/>
  <c r="AK53" i="61"/>
  <c r="AJ53" i="61"/>
  <c r="AD53" i="61"/>
  <c r="X53" i="61"/>
  <c r="R53" i="61"/>
  <c r="L53" i="61"/>
  <c r="F53" i="61"/>
  <c r="BM52" i="61"/>
  <c r="BL52" i="61"/>
  <c r="BK52" i="61"/>
  <c r="BJ52" i="61"/>
  <c r="BI52" i="61"/>
  <c r="BH52" i="61"/>
  <c r="AO52" i="61"/>
  <c r="AN52" i="61"/>
  <c r="AM52" i="61"/>
  <c r="AL52" i="61"/>
  <c r="AK52" i="61"/>
  <c r="AJ52" i="61"/>
  <c r="AD52" i="61"/>
  <c r="X52" i="61"/>
  <c r="R52" i="61"/>
  <c r="M52" i="61"/>
  <c r="L52" i="61"/>
  <c r="F52" i="61"/>
  <c r="BM51" i="61"/>
  <c r="BL51" i="61"/>
  <c r="BK51" i="61"/>
  <c r="BJ51" i="61"/>
  <c r="BI51" i="61"/>
  <c r="BH51" i="61"/>
  <c r="AO51" i="61"/>
  <c r="AN51" i="61"/>
  <c r="AM51" i="61"/>
  <c r="AL51" i="61"/>
  <c r="AK51" i="61"/>
  <c r="AJ51" i="61"/>
  <c r="AD51" i="61"/>
  <c r="X51" i="61"/>
  <c r="R51" i="61"/>
  <c r="L51" i="61"/>
  <c r="F51" i="61"/>
  <c r="BM50" i="61"/>
  <c r="BL50" i="61"/>
  <c r="BK50" i="61"/>
  <c r="BJ50" i="61"/>
  <c r="BI50" i="61"/>
  <c r="BH50" i="61"/>
  <c r="AO50" i="61"/>
  <c r="AN50" i="61"/>
  <c r="AM50" i="61"/>
  <c r="AL50" i="61"/>
  <c r="AK50" i="61"/>
  <c r="AJ50" i="61"/>
  <c r="AE50" i="61"/>
  <c r="AD50" i="61"/>
  <c r="X50" i="61"/>
  <c r="S50" i="61"/>
  <c r="R50" i="61"/>
  <c r="L50" i="61"/>
  <c r="F50" i="61"/>
  <c r="BM49" i="61"/>
  <c r="BL49" i="61"/>
  <c r="BK49" i="61"/>
  <c r="BJ49" i="61"/>
  <c r="BI49" i="61"/>
  <c r="BH49" i="61"/>
  <c r="AO49" i="61"/>
  <c r="AN49" i="61"/>
  <c r="AM49" i="61"/>
  <c r="AL49" i="61"/>
  <c r="AK49" i="61"/>
  <c r="AJ49" i="61"/>
  <c r="AD49" i="61"/>
  <c r="X49" i="61"/>
  <c r="R49" i="61"/>
  <c r="L49" i="61"/>
  <c r="F49" i="61"/>
  <c r="BM48" i="61"/>
  <c r="BL48" i="61"/>
  <c r="BK48" i="61"/>
  <c r="BJ48" i="61"/>
  <c r="BI48" i="61"/>
  <c r="BH48" i="61"/>
  <c r="AO48" i="61"/>
  <c r="AN48" i="61"/>
  <c r="AM48" i="61"/>
  <c r="AL48" i="61"/>
  <c r="AK48" i="61"/>
  <c r="AJ48" i="61"/>
  <c r="AD48" i="61"/>
  <c r="Y48" i="61"/>
  <c r="X48" i="61"/>
  <c r="R48" i="61"/>
  <c r="M48" i="61"/>
  <c r="L48" i="61"/>
  <c r="F48" i="61"/>
  <c r="BM47" i="61"/>
  <c r="BL47" i="61"/>
  <c r="BK47" i="61"/>
  <c r="BJ47" i="61"/>
  <c r="BI47" i="61"/>
  <c r="BH47" i="61"/>
  <c r="AO47" i="61"/>
  <c r="AN47" i="61"/>
  <c r="AM47" i="61"/>
  <c r="AL47" i="61"/>
  <c r="AK47" i="61"/>
  <c r="AJ47" i="61"/>
  <c r="AD47" i="61"/>
  <c r="X47" i="61"/>
  <c r="R47" i="61"/>
  <c r="L47" i="61"/>
  <c r="F47" i="61"/>
  <c r="BM46" i="61"/>
  <c r="BL46" i="61"/>
  <c r="BK46" i="61"/>
  <c r="BJ46" i="61"/>
  <c r="BI46" i="61"/>
  <c r="BH46" i="61"/>
  <c r="AO46" i="61"/>
  <c r="AN46" i="61"/>
  <c r="AM46" i="61"/>
  <c r="AL46" i="61"/>
  <c r="AK46" i="61"/>
  <c r="AJ46" i="61"/>
  <c r="AD46" i="61"/>
  <c r="X46" i="61"/>
  <c r="R46" i="61"/>
  <c r="L46" i="61"/>
  <c r="F46" i="61"/>
  <c r="BM45" i="61"/>
  <c r="BL45" i="61"/>
  <c r="BK45" i="61"/>
  <c r="BJ45" i="61"/>
  <c r="BI45" i="61"/>
  <c r="BH45" i="61"/>
  <c r="AO45" i="61"/>
  <c r="AN45" i="61"/>
  <c r="AM45" i="61"/>
  <c r="AL45" i="61"/>
  <c r="AK45" i="61"/>
  <c r="AJ45" i="61"/>
  <c r="AD45" i="61"/>
  <c r="X45" i="61"/>
  <c r="R45" i="61"/>
  <c r="L45" i="61"/>
  <c r="F45" i="61"/>
  <c r="BM44" i="61"/>
  <c r="BL44" i="61"/>
  <c r="BK44" i="61"/>
  <c r="BJ44" i="61"/>
  <c r="BI44" i="61"/>
  <c r="BH44" i="61"/>
  <c r="AO44" i="61"/>
  <c r="AN44" i="61"/>
  <c r="AM44" i="61"/>
  <c r="AL44" i="61"/>
  <c r="AK44" i="61"/>
  <c r="AJ44" i="61"/>
  <c r="AD44" i="61"/>
  <c r="X44" i="61"/>
  <c r="R44" i="61"/>
  <c r="L44" i="61"/>
  <c r="F44" i="61"/>
  <c r="BM43" i="61"/>
  <c r="BL43" i="61"/>
  <c r="BK43" i="61"/>
  <c r="BJ43" i="61"/>
  <c r="BI43" i="61"/>
  <c r="BH43" i="61"/>
  <c r="AO43" i="61"/>
  <c r="AN43" i="61"/>
  <c r="AM43" i="61"/>
  <c r="AL43" i="61"/>
  <c r="AK43" i="61"/>
  <c r="AJ43" i="61"/>
  <c r="AD43" i="61"/>
  <c r="X43" i="61"/>
  <c r="R43" i="61"/>
  <c r="L43" i="61"/>
  <c r="F43" i="61"/>
  <c r="BM42" i="61"/>
  <c r="BL42" i="61"/>
  <c r="BK42" i="61"/>
  <c r="BJ42" i="61"/>
  <c r="BI42" i="61"/>
  <c r="BH42" i="61"/>
  <c r="AO42" i="61"/>
  <c r="AN42" i="61"/>
  <c r="AM42" i="61"/>
  <c r="AL42" i="61"/>
  <c r="AK42" i="61"/>
  <c r="AJ42" i="61"/>
  <c r="AD42" i="61"/>
  <c r="X42" i="61"/>
  <c r="R42" i="61"/>
  <c r="L42" i="61"/>
  <c r="F42" i="61"/>
  <c r="H55" i="61"/>
  <c r="G55" i="61"/>
  <c r="BM54" i="61"/>
  <c r="BL54" i="61"/>
  <c r="BK54" i="61"/>
  <c r="BJ54" i="61"/>
  <c r="BI54" i="61"/>
  <c r="BH54" i="61"/>
  <c r="AO54" i="61"/>
  <c r="AN54" i="61"/>
  <c r="AM54" i="61"/>
  <c r="AL54" i="61"/>
  <c r="AK54" i="61"/>
  <c r="AJ54" i="61"/>
  <c r="AI54" i="61"/>
  <c r="AH54" i="61"/>
  <c r="AG54" i="61"/>
  <c r="AF54" i="61"/>
  <c r="AE54" i="61"/>
  <c r="AD54" i="61"/>
  <c r="AC54" i="61"/>
  <c r="AB54" i="61"/>
  <c r="AA54" i="61"/>
  <c r="Z54" i="61"/>
  <c r="Y54" i="61"/>
  <c r="X54" i="61"/>
  <c r="W54" i="61"/>
  <c r="V54" i="61"/>
  <c r="U54" i="61"/>
  <c r="T54" i="61"/>
  <c r="S54" i="61"/>
  <c r="R54" i="61"/>
  <c r="Q54" i="61"/>
  <c r="P54" i="61"/>
  <c r="O54" i="61"/>
  <c r="N54" i="61"/>
  <c r="M54" i="61"/>
  <c r="L54" i="61"/>
  <c r="K54" i="61"/>
  <c r="F54" i="61"/>
  <c r="BM41" i="61"/>
  <c r="BL41" i="61"/>
  <c r="BK41" i="61"/>
  <c r="BJ41" i="61"/>
  <c r="BI41" i="61"/>
  <c r="BH41" i="61"/>
  <c r="AO41" i="61"/>
  <c r="AN41" i="61"/>
  <c r="AM41" i="61"/>
  <c r="AL41" i="61"/>
  <c r="AK41" i="61"/>
  <c r="AD41" i="61"/>
  <c r="X41" i="61"/>
  <c r="R41" i="61"/>
  <c r="L41" i="61"/>
  <c r="AJ41" i="61"/>
  <c r="F41" i="61"/>
  <c r="BM40" i="61"/>
  <c r="BL40" i="61"/>
  <c r="BK40" i="61"/>
  <c r="BJ40" i="61"/>
  <c r="BI40" i="61"/>
  <c r="BH40" i="61"/>
  <c r="AO40" i="61"/>
  <c r="AN40" i="61"/>
  <c r="AM40" i="61"/>
  <c r="AL40" i="61"/>
  <c r="AK40" i="61"/>
  <c r="AJ40" i="61"/>
  <c r="AD40" i="61"/>
  <c r="X40" i="61"/>
  <c r="R40" i="61"/>
  <c r="L40" i="61"/>
  <c r="F40" i="61"/>
  <c r="BM39" i="61"/>
  <c r="BL39" i="61"/>
  <c r="BK39" i="61"/>
  <c r="BJ39" i="61"/>
  <c r="BI39" i="61"/>
  <c r="BH39" i="61"/>
  <c r="AO39" i="61"/>
  <c r="AN39" i="61"/>
  <c r="AM39" i="61"/>
  <c r="AL39" i="61"/>
  <c r="AK39" i="61"/>
  <c r="AJ39" i="61"/>
  <c r="AD39" i="61"/>
  <c r="X39" i="61"/>
  <c r="R39" i="61"/>
  <c r="L39" i="61"/>
  <c r="F39" i="61"/>
  <c r="BM38" i="61"/>
  <c r="BL38" i="61"/>
  <c r="BK38" i="61"/>
  <c r="BJ38" i="61"/>
  <c r="BI38" i="61"/>
  <c r="BH38" i="61"/>
  <c r="AO38" i="61"/>
  <c r="AN38" i="61"/>
  <c r="AM38" i="61"/>
  <c r="AL38" i="61"/>
  <c r="AK38" i="61"/>
  <c r="AJ38" i="61"/>
  <c r="AD38" i="61"/>
  <c r="X38" i="61"/>
  <c r="R38" i="61"/>
  <c r="L38" i="61"/>
  <c r="F38" i="61"/>
  <c r="BM37" i="61"/>
  <c r="BL37" i="61"/>
  <c r="BK37" i="61"/>
  <c r="BJ37" i="61"/>
  <c r="BI37" i="61"/>
  <c r="BH37" i="61"/>
  <c r="AO37" i="61"/>
  <c r="AN37" i="61"/>
  <c r="AM37" i="61"/>
  <c r="AL37" i="61"/>
  <c r="AK37" i="61"/>
  <c r="AJ37" i="61"/>
  <c r="AD37" i="61"/>
  <c r="X37" i="61"/>
  <c r="R37" i="61"/>
  <c r="L37" i="61"/>
  <c r="F37" i="61"/>
  <c r="BM36" i="61"/>
  <c r="BL36" i="61"/>
  <c r="BK36" i="61"/>
  <c r="BJ36" i="61"/>
  <c r="BI36" i="61"/>
  <c r="BH36" i="61"/>
  <c r="AO36" i="61"/>
  <c r="AN36" i="61"/>
  <c r="AM36" i="61"/>
  <c r="AL36" i="61"/>
  <c r="AK36" i="61"/>
  <c r="AJ36" i="61"/>
  <c r="AI36" i="61"/>
  <c r="AH36" i="61"/>
  <c r="AG36" i="61"/>
  <c r="AF36" i="61"/>
  <c r="AE36" i="61"/>
  <c r="AD36" i="61"/>
  <c r="AC36" i="61"/>
  <c r="AB36" i="61"/>
  <c r="AA36" i="61"/>
  <c r="Z36" i="61"/>
  <c r="Y36" i="61"/>
  <c r="X36" i="61"/>
  <c r="W36" i="61"/>
  <c r="V36" i="61"/>
  <c r="U36" i="61"/>
  <c r="T36" i="61"/>
  <c r="S36" i="61"/>
  <c r="R36" i="61"/>
  <c r="Q36" i="61"/>
  <c r="P36" i="61"/>
  <c r="O36" i="61"/>
  <c r="N36" i="61"/>
  <c r="M36" i="61"/>
  <c r="L36" i="61"/>
  <c r="K36" i="61"/>
  <c r="F36" i="61"/>
  <c r="BM35" i="61"/>
  <c r="BL35" i="61"/>
  <c r="BK35" i="61"/>
  <c r="BJ35" i="61"/>
  <c r="BI35" i="61"/>
  <c r="AN35" i="61"/>
  <c r="AM35" i="61"/>
  <c r="AK35" i="61"/>
  <c r="AJ35" i="61"/>
  <c r="AD35" i="61"/>
  <c r="X35" i="61"/>
  <c r="R35" i="61"/>
  <c r="L35" i="61"/>
  <c r="F35" i="61"/>
  <c r="BM34" i="61"/>
  <c r="BL34" i="61"/>
  <c r="BK34" i="61"/>
  <c r="BJ34" i="61"/>
  <c r="BI34" i="61"/>
  <c r="BH34" i="61"/>
  <c r="AO34" i="61"/>
  <c r="AN34" i="61"/>
  <c r="AM34" i="61"/>
  <c r="AL34" i="61"/>
  <c r="AK34" i="61"/>
  <c r="AJ34" i="61"/>
  <c r="AD34" i="61"/>
  <c r="X34" i="61"/>
  <c r="R34" i="61"/>
  <c r="L34" i="61"/>
  <c r="F34" i="61"/>
  <c r="BM33" i="61"/>
  <c r="BL33" i="61"/>
  <c r="BK33" i="61"/>
  <c r="BJ33" i="61"/>
  <c r="BI33" i="61"/>
  <c r="BH33" i="61"/>
  <c r="AO33" i="61"/>
  <c r="AN33" i="61"/>
  <c r="AM33" i="61"/>
  <c r="AL33" i="61"/>
  <c r="AK33" i="61"/>
  <c r="AJ33" i="61"/>
  <c r="AD33" i="61"/>
  <c r="X33" i="61"/>
  <c r="R33" i="61"/>
  <c r="L33" i="61"/>
  <c r="F33" i="61"/>
  <c r="BM32" i="61"/>
  <c r="BL32" i="61"/>
  <c r="BK32" i="61"/>
  <c r="BJ32" i="61"/>
  <c r="BI32" i="61"/>
  <c r="BH32" i="61"/>
  <c r="AO32" i="61"/>
  <c r="AN32" i="61"/>
  <c r="AM32" i="61"/>
  <c r="AL32" i="61"/>
  <c r="AK32" i="61"/>
  <c r="AJ32" i="61"/>
  <c r="AD32" i="61"/>
  <c r="X32" i="61"/>
  <c r="R32" i="61"/>
  <c r="L32" i="61"/>
  <c r="F32" i="61"/>
  <c r="BM31" i="61"/>
  <c r="BL31" i="61"/>
  <c r="BK31" i="61"/>
  <c r="BJ31" i="61"/>
  <c r="BI31" i="61"/>
  <c r="BH31" i="61"/>
  <c r="AO31" i="61"/>
  <c r="AN31" i="61"/>
  <c r="AM31" i="61"/>
  <c r="AL31" i="61"/>
  <c r="AK31" i="61"/>
  <c r="AJ31" i="61"/>
  <c r="X31" i="61"/>
  <c r="R31" i="61"/>
  <c r="L31" i="61"/>
  <c r="AD31" i="61"/>
  <c r="F31" i="61"/>
  <c r="BM30" i="61"/>
  <c r="BL30" i="61"/>
  <c r="BK30" i="61"/>
  <c r="BJ30" i="61"/>
  <c r="BI30" i="61"/>
  <c r="BH30" i="61"/>
  <c r="AO30" i="61"/>
  <c r="AN30" i="61"/>
  <c r="AM30" i="61"/>
  <c r="AL30" i="61"/>
  <c r="AK30" i="61"/>
  <c r="AJ30" i="61"/>
  <c r="AI30" i="61"/>
  <c r="AH30" i="61"/>
  <c r="AG30" i="61"/>
  <c r="AF30" i="61"/>
  <c r="AE30" i="61"/>
  <c r="AD30" i="61"/>
  <c r="AC30" i="61"/>
  <c r="AB30" i="61"/>
  <c r="AA30" i="61"/>
  <c r="Z30" i="61"/>
  <c r="Y30" i="61"/>
  <c r="X30" i="61"/>
  <c r="W30" i="61"/>
  <c r="V30" i="61"/>
  <c r="U30" i="61"/>
  <c r="T30" i="61"/>
  <c r="S30" i="61"/>
  <c r="R30" i="61"/>
  <c r="Q30" i="61"/>
  <c r="P30" i="61"/>
  <c r="O30" i="61"/>
  <c r="N30" i="61"/>
  <c r="M30" i="61"/>
  <c r="L30" i="61"/>
  <c r="K30" i="61"/>
  <c r="F30" i="61"/>
  <c r="BM29" i="61"/>
  <c r="BL29" i="61"/>
  <c r="BK29" i="61"/>
  <c r="BJ29" i="61"/>
  <c r="BI29" i="61"/>
  <c r="BH29" i="61"/>
  <c r="AO29" i="61"/>
  <c r="AN29" i="61"/>
  <c r="AM29" i="61"/>
  <c r="AL29" i="61"/>
  <c r="AK29" i="61"/>
  <c r="AJ29" i="61"/>
  <c r="AD29" i="61"/>
  <c r="X29" i="61"/>
  <c r="R29" i="61"/>
  <c r="L29" i="61"/>
  <c r="F29" i="61"/>
  <c r="BM28" i="61"/>
  <c r="BL28" i="61"/>
  <c r="BK28" i="61"/>
  <c r="BJ28" i="61"/>
  <c r="BI28" i="61"/>
  <c r="BH28" i="61"/>
  <c r="AO28" i="61"/>
  <c r="AN28" i="61"/>
  <c r="AM28" i="61"/>
  <c r="AL28" i="61"/>
  <c r="AK28" i="61"/>
  <c r="AJ28" i="61"/>
  <c r="AD28" i="61"/>
  <c r="X28" i="61"/>
  <c r="R28" i="61"/>
  <c r="L28" i="61"/>
  <c r="F28" i="61"/>
  <c r="BM27" i="61"/>
  <c r="BL27" i="61"/>
  <c r="BK27" i="61"/>
  <c r="BJ27" i="61"/>
  <c r="BI27" i="61"/>
  <c r="BH27" i="61"/>
  <c r="AO27" i="61"/>
  <c r="AN27" i="61"/>
  <c r="AM27" i="61"/>
  <c r="AL27" i="61"/>
  <c r="AK27" i="61"/>
  <c r="AJ27" i="61"/>
  <c r="AD27" i="61"/>
  <c r="X27" i="61"/>
  <c r="R27" i="61"/>
  <c r="L27" i="61"/>
  <c r="F27" i="61"/>
  <c r="BM26" i="61"/>
  <c r="BL26" i="61"/>
  <c r="BK26" i="61"/>
  <c r="BJ26" i="61"/>
  <c r="BI26" i="61"/>
  <c r="BH26" i="61"/>
  <c r="AO26" i="61"/>
  <c r="AN26" i="61"/>
  <c r="AM26" i="61"/>
  <c r="AL26" i="61"/>
  <c r="AK26" i="61"/>
  <c r="AJ26" i="61"/>
  <c r="AI26" i="61"/>
  <c r="AH26" i="61"/>
  <c r="AG26" i="61"/>
  <c r="AF26" i="61"/>
  <c r="AE26" i="61"/>
  <c r="AD26" i="61"/>
  <c r="AC26" i="61"/>
  <c r="AB26" i="61"/>
  <c r="AA26" i="61"/>
  <c r="Z26" i="61"/>
  <c r="Y26" i="61"/>
  <c r="X26" i="61"/>
  <c r="W26" i="61"/>
  <c r="V26" i="61"/>
  <c r="U26" i="61"/>
  <c r="T26" i="61"/>
  <c r="S26" i="61"/>
  <c r="R26" i="61"/>
  <c r="Q26" i="61"/>
  <c r="P26" i="61"/>
  <c r="O26" i="61"/>
  <c r="N26" i="61"/>
  <c r="M26" i="61"/>
  <c r="L26" i="61"/>
  <c r="K26" i="61"/>
  <c r="F26" i="61"/>
  <c r="BM25" i="61"/>
  <c r="BL25" i="61"/>
  <c r="BK25" i="61"/>
  <c r="BJ25" i="61"/>
  <c r="BI25" i="61"/>
  <c r="BH25" i="61"/>
  <c r="AO25" i="61"/>
  <c r="AN25" i="61"/>
  <c r="AM25" i="61"/>
  <c r="AL25" i="61"/>
  <c r="AK25" i="61"/>
  <c r="AJ25" i="61"/>
  <c r="AD25" i="61"/>
  <c r="X25" i="61"/>
  <c r="R25" i="61"/>
  <c r="L25" i="61"/>
  <c r="F25" i="61"/>
  <c r="BM24" i="61"/>
  <c r="BL24" i="61"/>
  <c r="BK24" i="61"/>
  <c r="BJ24" i="61"/>
  <c r="BI24" i="61"/>
  <c r="BH24" i="61"/>
  <c r="AO24" i="61"/>
  <c r="AN24" i="61"/>
  <c r="AM24" i="61"/>
  <c r="AL24" i="61"/>
  <c r="AK24" i="61"/>
  <c r="AJ24" i="61"/>
  <c r="AD24" i="61"/>
  <c r="X24" i="61"/>
  <c r="R24" i="61"/>
  <c r="L24" i="61"/>
  <c r="F24" i="61"/>
  <c r="BM23" i="61"/>
  <c r="BL23" i="61"/>
  <c r="BK23" i="61"/>
  <c r="BJ23" i="61"/>
  <c r="BI23" i="61"/>
  <c r="BH23" i="61"/>
  <c r="AO23" i="61"/>
  <c r="AN23" i="61"/>
  <c r="AM23" i="61"/>
  <c r="AL23" i="61"/>
  <c r="AK23" i="61"/>
  <c r="AJ23" i="61"/>
  <c r="AD23" i="61"/>
  <c r="X23" i="61"/>
  <c r="R23" i="61"/>
  <c r="L23" i="61"/>
  <c r="F23" i="61"/>
  <c r="BM22" i="61"/>
  <c r="BL22" i="61"/>
  <c r="BK22" i="61"/>
  <c r="BJ22" i="61"/>
  <c r="BI22" i="61"/>
  <c r="BH22" i="61"/>
  <c r="AO22" i="61"/>
  <c r="AN22" i="61"/>
  <c r="AM22" i="61"/>
  <c r="AL22" i="61"/>
  <c r="AK22" i="61"/>
  <c r="AJ22" i="61"/>
  <c r="AD22" i="61"/>
  <c r="X22" i="61"/>
  <c r="R22" i="61"/>
  <c r="L22" i="61"/>
  <c r="F22" i="61"/>
  <c r="BM21" i="61"/>
  <c r="BL21" i="61"/>
  <c r="BK21" i="61"/>
  <c r="BJ21" i="61"/>
  <c r="BI21" i="61"/>
  <c r="BH21" i="61"/>
  <c r="AO21" i="61"/>
  <c r="AN21" i="61"/>
  <c r="AM21" i="61"/>
  <c r="AL21" i="61"/>
  <c r="AK21" i="61"/>
  <c r="AJ21" i="61"/>
  <c r="AI21" i="61"/>
  <c r="AH21" i="61"/>
  <c r="AG21" i="61"/>
  <c r="AF21" i="61"/>
  <c r="AE21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F21" i="61"/>
  <c r="BJ20" i="61"/>
  <c r="BI20" i="61"/>
  <c r="BH20" i="61"/>
  <c r="AO20" i="61"/>
  <c r="AN20" i="61"/>
  <c r="AM20" i="61"/>
  <c r="AL20" i="61"/>
  <c r="AK20" i="61"/>
  <c r="AJ20" i="61"/>
  <c r="AD20" i="61"/>
  <c r="X20" i="61"/>
  <c r="R20" i="61"/>
  <c r="M20" i="61"/>
  <c r="L20" i="61"/>
  <c r="BM19" i="61"/>
  <c r="BL19" i="61"/>
  <c r="BK19" i="61"/>
  <c r="BJ19" i="61"/>
  <c r="BI19" i="61"/>
  <c r="BH19" i="61"/>
  <c r="AO19" i="61"/>
  <c r="AN19" i="61"/>
  <c r="AM19" i="61"/>
  <c r="AL19" i="61"/>
  <c r="AK19" i="61"/>
  <c r="AJ19" i="61"/>
  <c r="AD19" i="61"/>
  <c r="X19" i="61"/>
  <c r="R19" i="61"/>
  <c r="L19" i="61"/>
  <c r="BM18" i="61"/>
  <c r="BL18" i="61"/>
  <c r="BK18" i="61"/>
  <c r="BJ18" i="61"/>
  <c r="BI18" i="61"/>
  <c r="BH18" i="61"/>
  <c r="AO18" i="61"/>
  <c r="AN18" i="61"/>
  <c r="AM18" i="61"/>
  <c r="AL18" i="61"/>
  <c r="AK18" i="61"/>
  <c r="AJ18" i="61"/>
  <c r="AD18" i="61"/>
  <c r="X18" i="61"/>
  <c r="R18" i="61"/>
  <c r="L18" i="61"/>
  <c r="BM17" i="61"/>
  <c r="BL17" i="61"/>
  <c r="BK17" i="61"/>
  <c r="BJ17" i="61"/>
  <c r="BI17" i="61"/>
  <c r="BH17" i="61"/>
  <c r="AO17" i="61"/>
  <c r="AN17" i="61"/>
  <c r="AM17" i="61"/>
  <c r="AL17" i="61"/>
  <c r="AK17" i="61"/>
  <c r="AJ17" i="61"/>
  <c r="AD17" i="61"/>
  <c r="X17" i="61"/>
  <c r="R17" i="61"/>
  <c r="L17" i="61"/>
  <c r="BM16" i="61"/>
  <c r="BL16" i="61"/>
  <c r="BK16" i="61"/>
  <c r="BJ16" i="61"/>
  <c r="BI16" i="61"/>
  <c r="BH16" i="61"/>
  <c r="AO16" i="61"/>
  <c r="AN16" i="61"/>
  <c r="AM16" i="61"/>
  <c r="AL16" i="61"/>
  <c r="AK16" i="61"/>
  <c r="AJ16" i="61"/>
  <c r="AD16" i="61"/>
  <c r="X16" i="61"/>
  <c r="R16" i="61"/>
  <c r="L16" i="61"/>
  <c r="BM15" i="61"/>
  <c r="BL15" i="61"/>
  <c r="BK15" i="61"/>
  <c r="BJ15" i="61"/>
  <c r="BI15" i="61"/>
  <c r="BH15" i="61"/>
  <c r="AO15" i="61"/>
  <c r="AN15" i="61"/>
  <c r="AM15" i="61"/>
  <c r="AL15" i="61"/>
  <c r="AK15" i="61"/>
  <c r="AJ15" i="61"/>
  <c r="AD15" i="61"/>
  <c r="X15" i="61"/>
  <c r="R15" i="61"/>
  <c r="L15" i="61"/>
  <c r="BM14" i="61"/>
  <c r="BL14" i="61"/>
  <c r="BK14" i="61"/>
  <c r="BJ14" i="61"/>
  <c r="BI14" i="61"/>
  <c r="BH14" i="61"/>
  <c r="AO14" i="61"/>
  <c r="AN14" i="61"/>
  <c r="AM14" i="61"/>
  <c r="AL14" i="61"/>
  <c r="AK14" i="61"/>
  <c r="AJ14" i="61"/>
  <c r="AD14" i="61"/>
  <c r="X14" i="61"/>
  <c r="R14" i="61"/>
  <c r="L14" i="61"/>
  <c r="S13" i="61"/>
  <c r="R13" i="61"/>
  <c r="Q13" i="61"/>
  <c r="P13" i="61"/>
  <c r="O13" i="61"/>
  <c r="N13" i="61"/>
  <c r="M13" i="61"/>
  <c r="L13" i="61"/>
  <c r="AE10" i="61"/>
  <c r="AE51" i="61" s="1"/>
  <c r="Y10" i="61"/>
  <c r="Y44" i="61" s="1"/>
  <c r="S10" i="61"/>
  <c r="S51" i="61" s="1"/>
  <c r="M10" i="61"/>
  <c r="M53" i="61" s="1"/>
  <c r="C6" i="61"/>
  <c r="F891" i="43"/>
  <c r="F886" i="43"/>
  <c r="F881" i="43"/>
  <c r="F629" i="43"/>
  <c r="F624" i="43"/>
  <c r="F619" i="43"/>
  <c r="F614" i="43"/>
  <c r="F609" i="43"/>
  <c r="F465" i="43"/>
  <c r="F460" i="43"/>
  <c r="F455" i="43"/>
  <c r="F333" i="43"/>
  <c r="F328" i="43"/>
  <c r="F323" i="43"/>
  <c r="F155" i="43"/>
  <c r="F150" i="43"/>
  <c r="F145" i="43"/>
  <c r="F140" i="43"/>
  <c r="F135" i="43"/>
  <c r="F913" i="43"/>
  <c r="F911" i="43"/>
  <c r="F912" i="43"/>
  <c r="F910" i="43"/>
  <c r="F656" i="43"/>
  <c r="F657" i="43"/>
  <c r="F655" i="43"/>
  <c r="F480" i="43"/>
  <c r="F479" i="43"/>
  <c r="F344" i="43"/>
  <c r="F343" i="43"/>
  <c r="F178" i="43"/>
  <c r="F179" i="43"/>
  <c r="F177" i="43"/>
  <c r="F899" i="43"/>
  <c r="F472" i="43"/>
  <c r="P54" i="51"/>
  <c r="F471" i="43"/>
  <c r="P26" i="54"/>
  <c r="F339" i="43"/>
  <c r="F168" i="43"/>
  <c r="F165" i="43"/>
  <c r="E163" i="60"/>
  <c r="D163" i="60" s="1"/>
  <c r="E161" i="60"/>
  <c r="D161" i="60" s="1"/>
  <c r="G159" i="60"/>
  <c r="E159" i="60" s="1"/>
  <c r="D159" i="60" s="1"/>
  <c r="H151" i="60"/>
  <c r="H152" i="60" s="1"/>
  <c r="L150" i="60"/>
  <c r="Q150" i="60" s="1"/>
  <c r="E150" i="60"/>
  <c r="Q149" i="60"/>
  <c r="Q148" i="60"/>
  <c r="G148" i="60"/>
  <c r="G151" i="60" s="1"/>
  <c r="I147" i="60"/>
  <c r="I148" i="60" s="1"/>
  <c r="L144" i="60"/>
  <c r="G144" i="60"/>
  <c r="N143" i="60"/>
  <c r="I142" i="60"/>
  <c r="I155" i="60" s="1"/>
  <c r="H142" i="60"/>
  <c r="G142" i="60"/>
  <c r="G143" i="60" s="1"/>
  <c r="N139" i="60"/>
  <c r="L139" i="60"/>
  <c r="N138" i="60"/>
  <c r="L138" i="60"/>
  <c r="I138" i="60"/>
  <c r="I139" i="60" s="1"/>
  <c r="H138" i="60"/>
  <c r="G138" i="60"/>
  <c r="G135" i="60"/>
  <c r="E135" i="60" s="1"/>
  <c r="D135" i="60" s="1"/>
  <c r="N134" i="60"/>
  <c r="L134" i="60"/>
  <c r="E134" i="60"/>
  <c r="D134" i="60" s="1"/>
  <c r="F132" i="60"/>
  <c r="E130" i="60"/>
  <c r="D130" i="60" s="1"/>
  <c r="N128" i="60"/>
  <c r="L143" i="60" s="1"/>
  <c r="I123" i="60"/>
  <c r="I124" i="60" s="1"/>
  <c r="F122" i="60"/>
  <c r="H121" i="60"/>
  <c r="H132" i="60" s="1"/>
  <c r="G121" i="60"/>
  <c r="E121" i="60" s="1"/>
  <c r="D121" i="60" s="1"/>
  <c r="M117" i="60"/>
  <c r="E111" i="60"/>
  <c r="D111" i="60" s="1"/>
  <c r="E109" i="60"/>
  <c r="D109" i="60" s="1"/>
  <c r="G107" i="60"/>
  <c r="E107" i="60" s="1"/>
  <c r="D107" i="60" s="1"/>
  <c r="H99" i="60"/>
  <c r="H100" i="60" s="1"/>
  <c r="G99" i="60"/>
  <c r="G100" i="60" s="1"/>
  <c r="H98" i="60"/>
  <c r="G98" i="60"/>
  <c r="N97" i="60"/>
  <c r="L97" i="60"/>
  <c r="N96" i="60"/>
  <c r="L96" i="60"/>
  <c r="I95" i="60"/>
  <c r="I97" i="60" s="1"/>
  <c r="V91" i="60"/>
  <c r="U91" i="60"/>
  <c r="T91" i="60"/>
  <c r="N91" i="60"/>
  <c r="M91" i="60"/>
  <c r="L91" i="60"/>
  <c r="G91" i="60"/>
  <c r="G103" i="60" s="1"/>
  <c r="V90" i="60"/>
  <c r="U90" i="60"/>
  <c r="T90" i="60"/>
  <c r="N90" i="60"/>
  <c r="M90" i="60"/>
  <c r="L90" i="60"/>
  <c r="G90" i="60"/>
  <c r="I89" i="60"/>
  <c r="I90" i="60" s="1"/>
  <c r="I91" i="60" s="1"/>
  <c r="E91" i="60" s="1"/>
  <c r="H89" i="60"/>
  <c r="G89" i="60"/>
  <c r="N86" i="60"/>
  <c r="L86" i="60"/>
  <c r="N85" i="60"/>
  <c r="L85" i="60"/>
  <c r="I85" i="60"/>
  <c r="I86" i="60" s="1"/>
  <c r="H85" i="60"/>
  <c r="H95" i="60" s="1"/>
  <c r="H97" i="60" s="1"/>
  <c r="G85" i="60"/>
  <c r="G82" i="60"/>
  <c r="E82" i="60" s="1"/>
  <c r="D82" i="60" s="1"/>
  <c r="N81" i="60"/>
  <c r="L81" i="60"/>
  <c r="E81" i="60"/>
  <c r="D81" i="60" s="1"/>
  <c r="F79" i="60"/>
  <c r="E77" i="60"/>
  <c r="D77" i="60" s="1"/>
  <c r="E72" i="60"/>
  <c r="I70" i="60"/>
  <c r="I71" i="60" s="1"/>
  <c r="F69" i="60"/>
  <c r="F70" i="60" s="1"/>
  <c r="H68" i="60"/>
  <c r="H105" i="60" s="1"/>
  <c r="G68" i="60"/>
  <c r="G105" i="60" s="1"/>
  <c r="E58" i="60"/>
  <c r="D58" i="60" s="1"/>
  <c r="E56" i="60"/>
  <c r="D56" i="60" s="1"/>
  <c r="G54" i="60"/>
  <c r="E54" i="60" s="1"/>
  <c r="D54" i="60" s="1"/>
  <c r="G47" i="60"/>
  <c r="E47" i="60" s="1"/>
  <c r="I46" i="60"/>
  <c r="G46" i="60"/>
  <c r="N44" i="60"/>
  <c r="L44" i="60"/>
  <c r="N43" i="60"/>
  <c r="L43" i="60"/>
  <c r="G43" i="60"/>
  <c r="G45" i="60" s="1"/>
  <c r="E45" i="60" s="1"/>
  <c r="I42" i="60"/>
  <c r="I43" i="60" s="1"/>
  <c r="V39" i="60"/>
  <c r="U39" i="60"/>
  <c r="T39" i="60"/>
  <c r="N39" i="60"/>
  <c r="M39" i="60"/>
  <c r="L39" i="60"/>
  <c r="G39" i="60"/>
  <c r="G50" i="60" s="1"/>
  <c r="V38" i="60"/>
  <c r="U38" i="60"/>
  <c r="T38" i="60"/>
  <c r="N38" i="60"/>
  <c r="M38" i="60"/>
  <c r="L38" i="60"/>
  <c r="G38" i="60"/>
  <c r="I37" i="60"/>
  <c r="I50" i="60" s="1"/>
  <c r="H37" i="60"/>
  <c r="G37" i="60"/>
  <c r="N34" i="60"/>
  <c r="L34" i="60"/>
  <c r="N33" i="60"/>
  <c r="L33" i="60"/>
  <c r="I33" i="60"/>
  <c r="I34" i="60" s="1"/>
  <c r="H33" i="60"/>
  <c r="H42" i="60" s="1"/>
  <c r="H44" i="60" s="1"/>
  <c r="G33" i="60"/>
  <c r="G42" i="60" s="1"/>
  <c r="G30" i="60"/>
  <c r="E30" i="60" s="1"/>
  <c r="D30" i="60" s="1"/>
  <c r="N29" i="60"/>
  <c r="L29" i="60"/>
  <c r="E29" i="60"/>
  <c r="D29" i="60" s="1"/>
  <c r="F27" i="60"/>
  <c r="E25" i="60"/>
  <c r="D25" i="60" s="1"/>
  <c r="E20" i="60"/>
  <c r="I18" i="60"/>
  <c r="I19" i="60" s="1"/>
  <c r="F17" i="60"/>
  <c r="F18" i="60" s="1"/>
  <c r="H16" i="60"/>
  <c r="H27" i="60" s="1"/>
  <c r="G16" i="60"/>
  <c r="G52" i="60" s="1"/>
  <c r="E331" i="59"/>
  <c r="D331" i="59" s="1"/>
  <c r="E329" i="59"/>
  <c r="D329" i="59" s="1"/>
  <c r="G327" i="59"/>
  <c r="E327" i="59" s="1"/>
  <c r="D327" i="59" s="1"/>
  <c r="H317" i="59"/>
  <c r="H318" i="59" s="1"/>
  <c r="L316" i="59"/>
  <c r="Q316" i="59" s="1"/>
  <c r="E316" i="59"/>
  <c r="Q315" i="59"/>
  <c r="Q314" i="59"/>
  <c r="G314" i="59"/>
  <c r="I313" i="59"/>
  <c r="I314" i="59" s="1"/>
  <c r="L310" i="59"/>
  <c r="G310" i="59"/>
  <c r="N309" i="59"/>
  <c r="I308" i="59"/>
  <c r="I321" i="59" s="1"/>
  <c r="H308" i="59"/>
  <c r="G308" i="59"/>
  <c r="G309" i="59" s="1"/>
  <c r="N305" i="59"/>
  <c r="L305" i="59"/>
  <c r="N304" i="59"/>
  <c r="L304" i="59"/>
  <c r="I304" i="59"/>
  <c r="I305" i="59" s="1"/>
  <c r="H304" i="59"/>
  <c r="G304" i="59"/>
  <c r="G301" i="59"/>
  <c r="E301" i="59" s="1"/>
  <c r="D301" i="59" s="1"/>
  <c r="N300" i="59"/>
  <c r="L300" i="59"/>
  <c r="E300" i="59"/>
  <c r="D300" i="59" s="1"/>
  <c r="F298" i="59"/>
  <c r="E296" i="59"/>
  <c r="D296" i="59" s="1"/>
  <c r="N294" i="59"/>
  <c r="L309" i="59" s="1"/>
  <c r="I289" i="59"/>
  <c r="I290" i="59" s="1"/>
  <c r="I291" i="59" s="1"/>
  <c r="E291" i="59" s="1"/>
  <c r="F288" i="59"/>
  <c r="H287" i="59"/>
  <c r="H298" i="59" s="1"/>
  <c r="G287" i="59"/>
  <c r="M283" i="59"/>
  <c r="E277" i="59"/>
  <c r="D277" i="59" s="1"/>
  <c r="E275" i="59"/>
  <c r="D275" i="59" s="1"/>
  <c r="G273" i="59"/>
  <c r="E273" i="59" s="1"/>
  <c r="D273" i="59" s="1"/>
  <c r="H265" i="59"/>
  <c r="H266" i="59" s="1"/>
  <c r="G265" i="59"/>
  <c r="G266" i="59" s="1"/>
  <c r="H264" i="59"/>
  <c r="G264" i="59"/>
  <c r="N263" i="59"/>
  <c r="L263" i="59"/>
  <c r="N262" i="59"/>
  <c r="L262" i="59"/>
  <c r="I261" i="59"/>
  <c r="I263" i="59" s="1"/>
  <c r="V258" i="59"/>
  <c r="U258" i="59"/>
  <c r="T258" i="59"/>
  <c r="N258" i="59"/>
  <c r="M258" i="59"/>
  <c r="L258" i="59"/>
  <c r="G258" i="59"/>
  <c r="G269" i="59" s="1"/>
  <c r="V257" i="59"/>
  <c r="U257" i="59"/>
  <c r="T257" i="59"/>
  <c r="N257" i="59"/>
  <c r="M257" i="59"/>
  <c r="L257" i="59"/>
  <c r="G257" i="59"/>
  <c r="I256" i="59"/>
  <c r="I257" i="59" s="1"/>
  <c r="I258" i="59" s="1"/>
  <c r="E258" i="59" s="1"/>
  <c r="H256" i="59"/>
  <c r="G256" i="59"/>
  <c r="N253" i="59"/>
  <c r="L253" i="59"/>
  <c r="N252" i="59"/>
  <c r="L252" i="59"/>
  <c r="I252" i="59"/>
  <c r="I253" i="59" s="1"/>
  <c r="H252" i="59"/>
  <c r="H261" i="59" s="1"/>
  <c r="H263" i="59" s="1"/>
  <c r="G252" i="59"/>
  <c r="G249" i="59"/>
  <c r="E249" i="59" s="1"/>
  <c r="D249" i="59" s="1"/>
  <c r="N248" i="59"/>
  <c r="L248" i="59"/>
  <c r="E248" i="59"/>
  <c r="D248" i="59" s="1"/>
  <c r="F246" i="59"/>
  <c r="E244" i="59"/>
  <c r="D244" i="59" s="1"/>
  <c r="E239" i="59"/>
  <c r="I237" i="59"/>
  <c r="I238" i="59" s="1"/>
  <c r="F236" i="59"/>
  <c r="F237" i="59" s="1"/>
  <c r="H235" i="59"/>
  <c r="H271" i="59" s="1"/>
  <c r="G235" i="59"/>
  <c r="G271" i="59" s="1"/>
  <c r="E221" i="59"/>
  <c r="D221" i="59" s="1"/>
  <c r="E219" i="59"/>
  <c r="D219" i="59" s="1"/>
  <c r="G217" i="59"/>
  <c r="E217" i="59" s="1"/>
  <c r="D217" i="59" s="1"/>
  <c r="G208" i="59"/>
  <c r="E208" i="59" s="1"/>
  <c r="G207" i="59"/>
  <c r="N205" i="59"/>
  <c r="L205" i="59"/>
  <c r="N204" i="59"/>
  <c r="L204" i="59"/>
  <c r="G204" i="59"/>
  <c r="G206" i="59" s="1"/>
  <c r="E206" i="59" s="1"/>
  <c r="I203" i="59"/>
  <c r="I204" i="59" s="1"/>
  <c r="V200" i="59"/>
  <c r="U200" i="59"/>
  <c r="T200" i="59"/>
  <c r="N200" i="59"/>
  <c r="M200" i="59"/>
  <c r="L200" i="59"/>
  <c r="G200" i="59"/>
  <c r="G211" i="59" s="1"/>
  <c r="V199" i="59"/>
  <c r="U199" i="59"/>
  <c r="T199" i="59"/>
  <c r="N199" i="59"/>
  <c r="M199" i="59"/>
  <c r="L199" i="59"/>
  <c r="G199" i="59"/>
  <c r="I198" i="59"/>
  <c r="I211" i="59" s="1"/>
  <c r="H198" i="59"/>
  <c r="G198" i="59"/>
  <c r="N195" i="59"/>
  <c r="L195" i="59"/>
  <c r="N194" i="59"/>
  <c r="L194" i="59"/>
  <c r="I194" i="59"/>
  <c r="I195" i="59" s="1"/>
  <c r="H194" i="59"/>
  <c r="H203" i="59" s="1"/>
  <c r="H205" i="59" s="1"/>
  <c r="H212" i="59" s="1"/>
  <c r="G194" i="59"/>
  <c r="G203" i="59" s="1"/>
  <c r="G205" i="59" s="1"/>
  <c r="G212" i="59" s="1"/>
  <c r="G191" i="59"/>
  <c r="E191" i="59" s="1"/>
  <c r="D191" i="59" s="1"/>
  <c r="N190" i="59"/>
  <c r="L190" i="59"/>
  <c r="E190" i="59"/>
  <c r="D190" i="59" s="1"/>
  <c r="F188" i="59"/>
  <c r="E186" i="59"/>
  <c r="D186" i="59" s="1"/>
  <c r="E181" i="59"/>
  <c r="F178" i="59"/>
  <c r="F179" i="59" s="1"/>
  <c r="H177" i="59"/>
  <c r="H188" i="59" s="1"/>
  <c r="G177" i="59"/>
  <c r="G215" i="59" s="1"/>
  <c r="E173" i="59"/>
  <c r="I207" i="59" s="1"/>
  <c r="E167" i="59"/>
  <c r="D167" i="59" s="1"/>
  <c r="E165" i="59"/>
  <c r="D165" i="59" s="1"/>
  <c r="G163" i="59"/>
  <c r="E163" i="59" s="1"/>
  <c r="D163" i="59" s="1"/>
  <c r="G154" i="59"/>
  <c r="E154" i="59" s="1"/>
  <c r="G153" i="59"/>
  <c r="N151" i="59"/>
  <c r="L151" i="59"/>
  <c r="N150" i="59"/>
  <c r="L150" i="59"/>
  <c r="G150" i="59"/>
  <c r="I149" i="59"/>
  <c r="V146" i="59"/>
  <c r="U146" i="59"/>
  <c r="T146" i="59"/>
  <c r="N146" i="59"/>
  <c r="M146" i="59"/>
  <c r="L146" i="59"/>
  <c r="G146" i="59"/>
  <c r="G157" i="59" s="1"/>
  <c r="V145" i="59"/>
  <c r="U145" i="59"/>
  <c r="T145" i="59"/>
  <c r="N145" i="59"/>
  <c r="M145" i="59"/>
  <c r="L145" i="59"/>
  <c r="G145" i="59"/>
  <c r="I144" i="59"/>
  <c r="I157" i="59" s="1"/>
  <c r="H144" i="59"/>
  <c r="G144" i="59"/>
  <c r="N141" i="59"/>
  <c r="L141" i="59"/>
  <c r="N140" i="59"/>
  <c r="L140" i="59"/>
  <c r="I140" i="59"/>
  <c r="I141" i="59" s="1"/>
  <c r="H140" i="59"/>
  <c r="H149" i="59" s="1"/>
  <c r="H151" i="59" s="1"/>
  <c r="H158" i="59" s="1"/>
  <c r="G140" i="59"/>
  <c r="G149" i="59" s="1"/>
  <c r="G151" i="59" s="1"/>
  <c r="G158" i="59" s="1"/>
  <c r="G137" i="59"/>
  <c r="E137" i="59" s="1"/>
  <c r="D137" i="59" s="1"/>
  <c r="N136" i="59"/>
  <c r="L136" i="59"/>
  <c r="E136" i="59"/>
  <c r="D136" i="59" s="1"/>
  <c r="F134" i="59"/>
  <c r="E132" i="59"/>
  <c r="D132" i="59" s="1"/>
  <c r="E127" i="59"/>
  <c r="F124" i="59"/>
  <c r="F125" i="59" s="1"/>
  <c r="H123" i="59"/>
  <c r="H134" i="59" s="1"/>
  <c r="G123" i="59"/>
  <c r="G161" i="59" s="1"/>
  <c r="E119" i="59"/>
  <c r="I153" i="59" s="1"/>
  <c r="E113" i="59"/>
  <c r="D113" i="59" s="1"/>
  <c r="E111" i="59"/>
  <c r="D111" i="59" s="1"/>
  <c r="G109" i="59"/>
  <c r="E109" i="59" s="1"/>
  <c r="D109" i="59" s="1"/>
  <c r="G100" i="59"/>
  <c r="E100" i="59" s="1"/>
  <c r="G99" i="59"/>
  <c r="N97" i="59"/>
  <c r="L97" i="59"/>
  <c r="N96" i="59"/>
  <c r="L96" i="59"/>
  <c r="G96" i="59"/>
  <c r="I95" i="59"/>
  <c r="V92" i="59"/>
  <c r="U92" i="59"/>
  <c r="T92" i="59"/>
  <c r="N92" i="59"/>
  <c r="M92" i="59"/>
  <c r="L92" i="59"/>
  <c r="G92" i="59"/>
  <c r="G103" i="59" s="1"/>
  <c r="V91" i="59"/>
  <c r="U91" i="59"/>
  <c r="T91" i="59"/>
  <c r="N91" i="59"/>
  <c r="M91" i="59"/>
  <c r="L91" i="59"/>
  <c r="G91" i="59"/>
  <c r="I90" i="59"/>
  <c r="I103" i="59" s="1"/>
  <c r="H90" i="59"/>
  <c r="G90" i="59"/>
  <c r="N87" i="59"/>
  <c r="L87" i="59"/>
  <c r="N86" i="59"/>
  <c r="L86" i="59"/>
  <c r="I86" i="59"/>
  <c r="I87" i="59" s="1"/>
  <c r="H86" i="59"/>
  <c r="H95" i="59" s="1"/>
  <c r="H97" i="59" s="1"/>
  <c r="H104" i="59" s="1"/>
  <c r="G86" i="59"/>
  <c r="G95" i="59" s="1"/>
  <c r="G97" i="59" s="1"/>
  <c r="G104" i="59" s="1"/>
  <c r="E104" i="59" s="1"/>
  <c r="G83" i="59"/>
  <c r="E83" i="59" s="1"/>
  <c r="D83" i="59" s="1"/>
  <c r="N82" i="59"/>
  <c r="L82" i="59"/>
  <c r="E82" i="59"/>
  <c r="D82" i="59" s="1"/>
  <c r="F80" i="59"/>
  <c r="E78" i="59"/>
  <c r="D78" i="59" s="1"/>
  <c r="E73" i="59"/>
  <c r="F70" i="59"/>
  <c r="F71" i="59" s="1"/>
  <c r="H69" i="59"/>
  <c r="H80" i="59" s="1"/>
  <c r="G69" i="59"/>
  <c r="G107" i="59" s="1"/>
  <c r="E65" i="59"/>
  <c r="I99" i="59" s="1"/>
  <c r="E60" i="59"/>
  <c r="D60" i="59" s="1"/>
  <c r="E58" i="59"/>
  <c r="D58" i="59" s="1"/>
  <c r="G56" i="59"/>
  <c r="E56" i="59" s="1"/>
  <c r="D56" i="59" s="1"/>
  <c r="G47" i="59"/>
  <c r="E47" i="59" s="1"/>
  <c r="G46" i="59"/>
  <c r="N44" i="59"/>
  <c r="L44" i="59"/>
  <c r="N43" i="59"/>
  <c r="L43" i="59"/>
  <c r="G43" i="59"/>
  <c r="I42" i="59"/>
  <c r="V39" i="59"/>
  <c r="U39" i="59"/>
  <c r="T39" i="59"/>
  <c r="N39" i="59"/>
  <c r="M39" i="59"/>
  <c r="L39" i="59"/>
  <c r="G39" i="59"/>
  <c r="G50" i="59" s="1"/>
  <c r="V38" i="59"/>
  <c r="U38" i="59"/>
  <c r="T38" i="59"/>
  <c r="N38" i="59"/>
  <c r="M38" i="59"/>
  <c r="L38" i="59"/>
  <c r="G38" i="59"/>
  <c r="I37" i="59"/>
  <c r="I50" i="59" s="1"/>
  <c r="H37" i="59"/>
  <c r="G37" i="59"/>
  <c r="N34" i="59"/>
  <c r="L34" i="59"/>
  <c r="N33" i="59"/>
  <c r="L33" i="59"/>
  <c r="I33" i="59"/>
  <c r="I34" i="59" s="1"/>
  <c r="H33" i="59"/>
  <c r="H42" i="59" s="1"/>
  <c r="H44" i="59" s="1"/>
  <c r="H51" i="59" s="1"/>
  <c r="G33" i="59"/>
  <c r="G42" i="59" s="1"/>
  <c r="G44" i="59" s="1"/>
  <c r="G51" i="59" s="1"/>
  <c r="G30" i="59"/>
  <c r="E30" i="59" s="1"/>
  <c r="D30" i="59" s="1"/>
  <c r="N29" i="59"/>
  <c r="L29" i="59"/>
  <c r="E29" i="59"/>
  <c r="D29" i="59" s="1"/>
  <c r="F27" i="59"/>
  <c r="E25" i="59"/>
  <c r="D25" i="59" s="1"/>
  <c r="E20" i="59"/>
  <c r="F17" i="59"/>
  <c r="F18" i="59" s="1"/>
  <c r="H16" i="59"/>
  <c r="H54" i="59" s="1"/>
  <c r="G16" i="59"/>
  <c r="G54" i="59" s="1"/>
  <c r="E12" i="59"/>
  <c r="E270" i="58"/>
  <c r="D270" i="58" s="1"/>
  <c r="E268" i="58"/>
  <c r="D268" i="58" s="1"/>
  <c r="G266" i="58"/>
  <c r="E266" i="58" s="1"/>
  <c r="D266" i="58" s="1"/>
  <c r="H258" i="58"/>
  <c r="H259" i="58" s="1"/>
  <c r="L257" i="58"/>
  <c r="Q257" i="58" s="1"/>
  <c r="E257" i="58"/>
  <c r="Q256" i="58"/>
  <c r="Q255" i="58"/>
  <c r="G255" i="58"/>
  <c r="I254" i="58"/>
  <c r="I255" i="58" s="1"/>
  <c r="L251" i="58"/>
  <c r="G251" i="58"/>
  <c r="N250" i="58"/>
  <c r="I249" i="58"/>
  <c r="I262" i="58" s="1"/>
  <c r="H249" i="58"/>
  <c r="G249" i="58"/>
  <c r="G250" i="58" s="1"/>
  <c r="N246" i="58"/>
  <c r="L246" i="58"/>
  <c r="N245" i="58"/>
  <c r="L245" i="58"/>
  <c r="I245" i="58"/>
  <c r="I246" i="58" s="1"/>
  <c r="H245" i="58"/>
  <c r="G245" i="58"/>
  <c r="G242" i="58"/>
  <c r="E242" i="58" s="1"/>
  <c r="D242" i="58" s="1"/>
  <c r="N241" i="58"/>
  <c r="L241" i="58"/>
  <c r="E241" i="58"/>
  <c r="D241" i="58" s="1"/>
  <c r="F239" i="58"/>
  <c r="E237" i="58"/>
  <c r="D237" i="58" s="1"/>
  <c r="N235" i="58"/>
  <c r="L250" i="58" s="1"/>
  <c r="I230" i="58"/>
  <c r="I231" i="58" s="1"/>
  <c r="I232" i="58" s="1"/>
  <c r="E232" i="58" s="1"/>
  <c r="F229" i="58"/>
  <c r="F230" i="58" s="1"/>
  <c r="F233" i="58" s="1"/>
  <c r="H228" i="58"/>
  <c r="H239" i="58" s="1"/>
  <c r="G228" i="58"/>
  <c r="M224" i="58"/>
  <c r="E218" i="58"/>
  <c r="D218" i="58" s="1"/>
  <c r="E216" i="58"/>
  <c r="D216" i="58" s="1"/>
  <c r="G214" i="58"/>
  <c r="E214" i="58" s="1"/>
  <c r="D214" i="58" s="1"/>
  <c r="H206" i="58"/>
  <c r="G206" i="58"/>
  <c r="G207" i="58" s="1"/>
  <c r="H205" i="58"/>
  <c r="G205" i="58"/>
  <c r="N204" i="58"/>
  <c r="L204" i="58"/>
  <c r="N203" i="58"/>
  <c r="L203" i="58"/>
  <c r="I202" i="58"/>
  <c r="I204" i="58" s="1"/>
  <c r="V199" i="58"/>
  <c r="U199" i="58"/>
  <c r="T199" i="58"/>
  <c r="N199" i="58"/>
  <c r="M199" i="58"/>
  <c r="L199" i="58"/>
  <c r="G199" i="58"/>
  <c r="G210" i="58" s="1"/>
  <c r="V198" i="58"/>
  <c r="U198" i="58"/>
  <c r="T198" i="58"/>
  <c r="N198" i="58"/>
  <c r="M198" i="58"/>
  <c r="L198" i="58"/>
  <c r="G198" i="58"/>
  <c r="I197" i="58"/>
  <c r="I198" i="58" s="1"/>
  <c r="I199" i="58" s="1"/>
  <c r="E199" i="58" s="1"/>
  <c r="H197" i="58"/>
  <c r="G197" i="58"/>
  <c r="N194" i="58"/>
  <c r="L194" i="58"/>
  <c r="N193" i="58"/>
  <c r="L193" i="58"/>
  <c r="I193" i="58"/>
  <c r="I194" i="58" s="1"/>
  <c r="H193" i="58"/>
  <c r="H202" i="58" s="1"/>
  <c r="H204" i="58" s="1"/>
  <c r="G193" i="58"/>
  <c r="G190" i="58"/>
  <c r="E190" i="58" s="1"/>
  <c r="D190" i="58" s="1"/>
  <c r="N189" i="58"/>
  <c r="L189" i="58"/>
  <c r="E189" i="58"/>
  <c r="D189" i="58" s="1"/>
  <c r="F187" i="58"/>
  <c r="E185" i="58"/>
  <c r="D185" i="58" s="1"/>
  <c r="E180" i="58"/>
  <c r="I178" i="58"/>
  <c r="I179" i="58" s="1"/>
  <c r="F177" i="58"/>
  <c r="F178" i="58" s="1"/>
  <c r="H176" i="58"/>
  <c r="H187" i="58" s="1"/>
  <c r="G176" i="58"/>
  <c r="G212" i="58" s="1"/>
  <c r="E160" i="58"/>
  <c r="D160" i="58" s="1"/>
  <c r="E158" i="58"/>
  <c r="D158" i="58" s="1"/>
  <c r="G156" i="58"/>
  <c r="E156" i="58" s="1"/>
  <c r="D156" i="58" s="1"/>
  <c r="G149" i="58"/>
  <c r="E149" i="58" s="1"/>
  <c r="I148" i="58"/>
  <c r="G148" i="58"/>
  <c r="N146" i="58"/>
  <c r="L146" i="58"/>
  <c r="N145" i="58"/>
  <c r="L145" i="58"/>
  <c r="G145" i="58"/>
  <c r="G147" i="58" s="1"/>
  <c r="E147" i="58" s="1"/>
  <c r="I144" i="58"/>
  <c r="V141" i="58"/>
  <c r="U141" i="58"/>
  <c r="T141" i="58"/>
  <c r="N141" i="58"/>
  <c r="M141" i="58"/>
  <c r="L141" i="58"/>
  <c r="G141" i="58"/>
  <c r="G152" i="58" s="1"/>
  <c r="V140" i="58"/>
  <c r="U140" i="58"/>
  <c r="T140" i="58"/>
  <c r="N140" i="58"/>
  <c r="M140" i="58"/>
  <c r="L140" i="58"/>
  <c r="G140" i="58"/>
  <c r="I139" i="58"/>
  <c r="I152" i="58" s="1"/>
  <c r="H139" i="58"/>
  <c r="G139" i="58"/>
  <c r="N136" i="58"/>
  <c r="L136" i="58"/>
  <c r="N135" i="58"/>
  <c r="L135" i="58"/>
  <c r="I135" i="58"/>
  <c r="I136" i="58" s="1"/>
  <c r="H135" i="58"/>
  <c r="G135" i="58"/>
  <c r="G144" i="58" s="1"/>
  <c r="G132" i="58"/>
  <c r="E132" i="58" s="1"/>
  <c r="D132" i="58" s="1"/>
  <c r="N131" i="58"/>
  <c r="L131" i="58"/>
  <c r="E131" i="58"/>
  <c r="D131" i="58" s="1"/>
  <c r="F129" i="58"/>
  <c r="E127" i="58"/>
  <c r="D127" i="58" s="1"/>
  <c r="E122" i="58"/>
  <c r="I120" i="58"/>
  <c r="I121" i="58" s="1"/>
  <c r="F119" i="58"/>
  <c r="F120" i="58" s="1"/>
  <c r="H118" i="58"/>
  <c r="H129" i="58" s="1"/>
  <c r="G118" i="58"/>
  <c r="G154" i="58" s="1"/>
  <c r="E109" i="58"/>
  <c r="D109" i="58" s="1"/>
  <c r="E107" i="58"/>
  <c r="D107" i="58" s="1"/>
  <c r="G105" i="58"/>
  <c r="E105" i="58" s="1"/>
  <c r="D105" i="58" s="1"/>
  <c r="G98" i="58"/>
  <c r="E98" i="58" s="1"/>
  <c r="I97" i="58"/>
  <c r="G97" i="58"/>
  <c r="N95" i="58"/>
  <c r="L95" i="58"/>
  <c r="N94" i="58"/>
  <c r="L94" i="58"/>
  <c r="G94" i="58"/>
  <c r="I93" i="58"/>
  <c r="I95" i="58" s="1"/>
  <c r="V90" i="58"/>
  <c r="U90" i="58"/>
  <c r="T90" i="58"/>
  <c r="N90" i="58"/>
  <c r="M90" i="58"/>
  <c r="L90" i="58"/>
  <c r="G90" i="58"/>
  <c r="G101" i="58" s="1"/>
  <c r="V89" i="58"/>
  <c r="U89" i="58"/>
  <c r="T89" i="58"/>
  <c r="N89" i="58"/>
  <c r="M89" i="58"/>
  <c r="L89" i="58"/>
  <c r="G89" i="58"/>
  <c r="I88" i="58"/>
  <c r="I101" i="58" s="1"/>
  <c r="H88" i="58"/>
  <c r="G88" i="58"/>
  <c r="N85" i="58"/>
  <c r="L85" i="58"/>
  <c r="N84" i="58"/>
  <c r="L84" i="58"/>
  <c r="I84" i="58"/>
  <c r="I85" i="58" s="1"/>
  <c r="H84" i="58"/>
  <c r="H93" i="58" s="1"/>
  <c r="H95" i="58" s="1"/>
  <c r="G84" i="58"/>
  <c r="G81" i="58"/>
  <c r="E81" i="58" s="1"/>
  <c r="D81" i="58" s="1"/>
  <c r="N80" i="58"/>
  <c r="L80" i="58"/>
  <c r="E80" i="58"/>
  <c r="D80" i="58" s="1"/>
  <c r="F78" i="58"/>
  <c r="E76" i="58"/>
  <c r="D76" i="58" s="1"/>
  <c r="E71" i="58"/>
  <c r="I69" i="58"/>
  <c r="I70" i="58" s="1"/>
  <c r="F68" i="58"/>
  <c r="H67" i="58"/>
  <c r="H78" i="58" s="1"/>
  <c r="G67" i="58"/>
  <c r="E58" i="58"/>
  <c r="D58" i="58" s="1"/>
  <c r="E56" i="58"/>
  <c r="D56" i="58" s="1"/>
  <c r="G54" i="58"/>
  <c r="E54" i="58" s="1"/>
  <c r="D54" i="58" s="1"/>
  <c r="G47" i="58"/>
  <c r="E47" i="58" s="1"/>
  <c r="I46" i="58"/>
  <c r="G46" i="58"/>
  <c r="N44" i="58"/>
  <c r="L44" i="58"/>
  <c r="N43" i="58"/>
  <c r="L43" i="58"/>
  <c r="G43" i="58"/>
  <c r="G45" i="58" s="1"/>
  <c r="E45" i="58" s="1"/>
  <c r="I42" i="58"/>
  <c r="I43" i="58" s="1"/>
  <c r="V39" i="58"/>
  <c r="U39" i="58"/>
  <c r="T39" i="58"/>
  <c r="N39" i="58"/>
  <c r="M39" i="58"/>
  <c r="L39" i="58"/>
  <c r="G39" i="58"/>
  <c r="V38" i="58"/>
  <c r="U38" i="58"/>
  <c r="T38" i="58"/>
  <c r="N38" i="58"/>
  <c r="M38" i="58"/>
  <c r="L38" i="58"/>
  <c r="G38" i="58"/>
  <c r="I37" i="58"/>
  <c r="I50" i="58" s="1"/>
  <c r="H37" i="58"/>
  <c r="G37" i="58"/>
  <c r="N34" i="58"/>
  <c r="L34" i="58"/>
  <c r="N33" i="58"/>
  <c r="L33" i="58"/>
  <c r="I33" i="58"/>
  <c r="I34" i="58" s="1"/>
  <c r="H33" i="58"/>
  <c r="G33" i="58"/>
  <c r="G42" i="58" s="1"/>
  <c r="G44" i="58" s="1"/>
  <c r="G30" i="58"/>
  <c r="E30" i="58" s="1"/>
  <c r="D30" i="58" s="1"/>
  <c r="N29" i="58"/>
  <c r="L29" i="58"/>
  <c r="E29" i="58"/>
  <c r="D29" i="58" s="1"/>
  <c r="F27" i="58"/>
  <c r="E25" i="58"/>
  <c r="D25" i="58" s="1"/>
  <c r="E20" i="58"/>
  <c r="I18" i="58"/>
  <c r="I19" i="58" s="1"/>
  <c r="F17" i="58"/>
  <c r="F18" i="58" s="1"/>
  <c r="F21" i="58" s="1"/>
  <c r="H16" i="58"/>
  <c r="G16" i="58"/>
  <c r="G52" i="58" s="1"/>
  <c r="E219" i="57"/>
  <c r="D219" i="57" s="1"/>
  <c r="E217" i="57"/>
  <c r="D217" i="57" s="1"/>
  <c r="G215" i="57"/>
  <c r="E215" i="57" s="1"/>
  <c r="D215" i="57" s="1"/>
  <c r="H207" i="57"/>
  <c r="H208" i="57" s="1"/>
  <c r="L206" i="57"/>
  <c r="Q206" i="57" s="1"/>
  <c r="E206" i="57"/>
  <c r="Q205" i="57"/>
  <c r="Q204" i="57"/>
  <c r="G204" i="57"/>
  <c r="G207" i="57" s="1"/>
  <c r="I203" i="57"/>
  <c r="I204" i="57" s="1"/>
  <c r="L200" i="57"/>
  <c r="G200" i="57"/>
  <c r="N199" i="57"/>
  <c r="I198" i="57"/>
  <c r="I211" i="57" s="1"/>
  <c r="H198" i="57"/>
  <c r="G198" i="57"/>
  <c r="G199" i="57" s="1"/>
  <c r="N195" i="57"/>
  <c r="L195" i="57"/>
  <c r="N194" i="57"/>
  <c r="L194" i="57"/>
  <c r="I194" i="57"/>
  <c r="H194" i="57"/>
  <c r="G194" i="57"/>
  <c r="G191" i="57"/>
  <c r="E191" i="57" s="1"/>
  <c r="D191" i="57" s="1"/>
  <c r="N190" i="57"/>
  <c r="L190" i="57"/>
  <c r="E190" i="57"/>
  <c r="D190" i="57" s="1"/>
  <c r="F188" i="57"/>
  <c r="E186" i="57"/>
  <c r="D186" i="57" s="1"/>
  <c r="N184" i="57"/>
  <c r="L199" i="57" s="1"/>
  <c r="I179" i="57"/>
  <c r="I180" i="57" s="1"/>
  <c r="I181" i="57" s="1"/>
  <c r="E181" i="57" s="1"/>
  <c r="F178" i="57"/>
  <c r="F179" i="57" s="1"/>
  <c r="F182" i="57" s="1"/>
  <c r="H177" i="57"/>
  <c r="H188" i="57" s="1"/>
  <c r="G177" i="57"/>
  <c r="G188" i="57" s="1"/>
  <c r="M173" i="57"/>
  <c r="E167" i="57"/>
  <c r="D167" i="57" s="1"/>
  <c r="E165" i="57"/>
  <c r="D165" i="57" s="1"/>
  <c r="G163" i="57"/>
  <c r="E163" i="57" s="1"/>
  <c r="D163" i="57" s="1"/>
  <c r="H155" i="57"/>
  <c r="G155" i="57"/>
  <c r="G156" i="57" s="1"/>
  <c r="H154" i="57"/>
  <c r="G154" i="57"/>
  <c r="N153" i="57"/>
  <c r="L153" i="57"/>
  <c r="N152" i="57"/>
  <c r="L152" i="57"/>
  <c r="I151" i="57"/>
  <c r="I153" i="57" s="1"/>
  <c r="V148" i="57"/>
  <c r="U148" i="57"/>
  <c r="T148" i="57"/>
  <c r="N148" i="57"/>
  <c r="M148" i="57"/>
  <c r="L148" i="57"/>
  <c r="G148" i="57"/>
  <c r="G159" i="57" s="1"/>
  <c r="V147" i="57"/>
  <c r="U147" i="57"/>
  <c r="T147" i="57"/>
  <c r="N147" i="57"/>
  <c r="M147" i="57"/>
  <c r="L147" i="57"/>
  <c r="G147" i="57"/>
  <c r="I146" i="57"/>
  <c r="I147" i="57" s="1"/>
  <c r="I148" i="57" s="1"/>
  <c r="E148" i="57" s="1"/>
  <c r="H146" i="57"/>
  <c r="G146" i="57"/>
  <c r="N143" i="57"/>
  <c r="L143" i="57"/>
  <c r="N142" i="57"/>
  <c r="L142" i="57"/>
  <c r="I142" i="57"/>
  <c r="I143" i="57" s="1"/>
  <c r="H142" i="57"/>
  <c r="H151" i="57" s="1"/>
  <c r="H153" i="57" s="1"/>
  <c r="G142" i="57"/>
  <c r="G139" i="57"/>
  <c r="E139" i="57" s="1"/>
  <c r="D139" i="57" s="1"/>
  <c r="N138" i="57"/>
  <c r="L138" i="57"/>
  <c r="E138" i="57"/>
  <c r="D138" i="57" s="1"/>
  <c r="F136" i="57"/>
  <c r="E134" i="57"/>
  <c r="D134" i="57" s="1"/>
  <c r="E129" i="57"/>
  <c r="I127" i="57"/>
  <c r="I128" i="57" s="1"/>
  <c r="F126" i="57"/>
  <c r="F127" i="57" s="1"/>
  <c r="H125" i="57"/>
  <c r="G125" i="57"/>
  <c r="G161" i="57" s="1"/>
  <c r="E109" i="57"/>
  <c r="D109" i="57" s="1"/>
  <c r="E107" i="57"/>
  <c r="D107" i="57" s="1"/>
  <c r="G105" i="57"/>
  <c r="E105" i="57" s="1"/>
  <c r="D105" i="57" s="1"/>
  <c r="G98" i="57"/>
  <c r="E98" i="57" s="1"/>
  <c r="G97" i="57"/>
  <c r="N95" i="57"/>
  <c r="L95" i="57"/>
  <c r="N94" i="57"/>
  <c r="L94" i="57"/>
  <c r="G94" i="57"/>
  <c r="G96" i="57" s="1"/>
  <c r="E96" i="57" s="1"/>
  <c r="I93" i="57"/>
  <c r="I95" i="57" s="1"/>
  <c r="V90" i="57"/>
  <c r="U90" i="57"/>
  <c r="T90" i="57"/>
  <c r="N90" i="57"/>
  <c r="M90" i="57"/>
  <c r="L90" i="57"/>
  <c r="G90" i="57"/>
  <c r="G101" i="57" s="1"/>
  <c r="V89" i="57"/>
  <c r="U89" i="57"/>
  <c r="T89" i="57"/>
  <c r="N89" i="57"/>
  <c r="M89" i="57"/>
  <c r="L89" i="57"/>
  <c r="G89" i="57"/>
  <c r="I88" i="57"/>
  <c r="I101" i="57" s="1"/>
  <c r="H88" i="57"/>
  <c r="G88" i="57"/>
  <c r="N85" i="57"/>
  <c r="L85" i="57"/>
  <c r="N84" i="57"/>
  <c r="L84" i="57"/>
  <c r="I84" i="57"/>
  <c r="I85" i="57" s="1"/>
  <c r="H84" i="57"/>
  <c r="H93" i="57" s="1"/>
  <c r="H95" i="57" s="1"/>
  <c r="G84" i="57"/>
  <c r="G81" i="57"/>
  <c r="E81" i="57" s="1"/>
  <c r="D81" i="57" s="1"/>
  <c r="N80" i="57"/>
  <c r="L80" i="57"/>
  <c r="E80" i="57"/>
  <c r="D80" i="57" s="1"/>
  <c r="F78" i="57"/>
  <c r="E76" i="57"/>
  <c r="D76" i="57" s="1"/>
  <c r="E71" i="57"/>
  <c r="F68" i="57"/>
  <c r="F69" i="57" s="1"/>
  <c r="H67" i="57"/>
  <c r="H78" i="57" s="1"/>
  <c r="G67" i="57"/>
  <c r="G78" i="57" s="1"/>
  <c r="E63" i="57"/>
  <c r="I97" i="57" s="1"/>
  <c r="E58" i="57"/>
  <c r="D58" i="57" s="1"/>
  <c r="E56" i="57"/>
  <c r="D56" i="57" s="1"/>
  <c r="G54" i="57"/>
  <c r="E54" i="57" s="1"/>
  <c r="D54" i="57" s="1"/>
  <c r="G47" i="57"/>
  <c r="E47" i="57" s="1"/>
  <c r="I46" i="57"/>
  <c r="G46" i="57"/>
  <c r="N44" i="57"/>
  <c r="L44" i="57"/>
  <c r="N43" i="57"/>
  <c r="L43" i="57"/>
  <c r="G43" i="57"/>
  <c r="G45" i="57" s="1"/>
  <c r="E45" i="57" s="1"/>
  <c r="I42" i="57"/>
  <c r="I44" i="57" s="1"/>
  <c r="V39" i="57"/>
  <c r="U39" i="57"/>
  <c r="T39" i="57"/>
  <c r="N39" i="57"/>
  <c r="M39" i="57"/>
  <c r="L39" i="57"/>
  <c r="G39" i="57"/>
  <c r="G50" i="57" s="1"/>
  <c r="V38" i="57"/>
  <c r="U38" i="57"/>
  <c r="T38" i="57"/>
  <c r="N38" i="57"/>
  <c r="M38" i="57"/>
  <c r="L38" i="57"/>
  <c r="G38" i="57"/>
  <c r="I37" i="57"/>
  <c r="I50" i="57" s="1"/>
  <c r="H37" i="57"/>
  <c r="G37" i="57"/>
  <c r="N34" i="57"/>
  <c r="L34" i="57"/>
  <c r="Q34" i="57" s="1"/>
  <c r="N33" i="57"/>
  <c r="L33" i="57"/>
  <c r="I33" i="57"/>
  <c r="I34" i="57" s="1"/>
  <c r="H33" i="57"/>
  <c r="H42" i="57" s="1"/>
  <c r="H44" i="57" s="1"/>
  <c r="G33" i="57"/>
  <c r="G42" i="57" s="1"/>
  <c r="G30" i="57"/>
  <c r="E30" i="57" s="1"/>
  <c r="D30" i="57" s="1"/>
  <c r="N29" i="57"/>
  <c r="L29" i="57"/>
  <c r="E29" i="57"/>
  <c r="D29" i="57" s="1"/>
  <c r="F27" i="57"/>
  <c r="E25" i="57"/>
  <c r="D25" i="57" s="1"/>
  <c r="E20" i="57"/>
  <c r="I18" i="57"/>
  <c r="I19" i="57" s="1"/>
  <c r="F17" i="57"/>
  <c r="F18" i="57" s="1"/>
  <c r="H16" i="57"/>
  <c r="H27" i="57" s="1"/>
  <c r="G16" i="57"/>
  <c r="E262" i="56"/>
  <c r="D262" i="56" s="1"/>
  <c r="E260" i="56"/>
  <c r="D260" i="56" s="1"/>
  <c r="G258" i="56"/>
  <c r="E258" i="56" s="1"/>
  <c r="D258" i="56" s="1"/>
  <c r="H250" i="56"/>
  <c r="H251" i="56" s="1"/>
  <c r="L249" i="56"/>
  <c r="Q249" i="56" s="1"/>
  <c r="E249" i="56"/>
  <c r="Q248" i="56"/>
  <c r="Q247" i="56"/>
  <c r="G247" i="56"/>
  <c r="G250" i="56" s="1"/>
  <c r="I246" i="56"/>
  <c r="I247" i="56" s="1"/>
  <c r="L243" i="56"/>
  <c r="G243" i="56"/>
  <c r="N242" i="56"/>
  <c r="I241" i="56"/>
  <c r="I254" i="56" s="1"/>
  <c r="H241" i="56"/>
  <c r="G241" i="56"/>
  <c r="G242" i="56" s="1"/>
  <c r="N238" i="56"/>
  <c r="L238" i="56"/>
  <c r="N237" i="56"/>
  <c r="L237" i="56"/>
  <c r="I237" i="56"/>
  <c r="I238" i="56" s="1"/>
  <c r="H237" i="56"/>
  <c r="G237" i="56"/>
  <c r="G234" i="56"/>
  <c r="E234" i="56" s="1"/>
  <c r="D234" i="56" s="1"/>
  <c r="N233" i="56"/>
  <c r="L233" i="56"/>
  <c r="E233" i="56"/>
  <c r="D233" i="56" s="1"/>
  <c r="F231" i="56"/>
  <c r="E229" i="56"/>
  <c r="D229" i="56" s="1"/>
  <c r="N227" i="56"/>
  <c r="L242" i="56" s="1"/>
  <c r="I222" i="56"/>
  <c r="I223" i="56" s="1"/>
  <c r="F221" i="56"/>
  <c r="H220" i="56"/>
  <c r="H231" i="56" s="1"/>
  <c r="G220" i="56"/>
  <c r="G231" i="56" s="1"/>
  <c r="M216" i="56"/>
  <c r="E211" i="56"/>
  <c r="D211" i="56" s="1"/>
  <c r="E209" i="56"/>
  <c r="D209" i="56" s="1"/>
  <c r="G207" i="56"/>
  <c r="E207" i="56" s="1"/>
  <c r="D207" i="56" s="1"/>
  <c r="H199" i="56"/>
  <c r="H200" i="56" s="1"/>
  <c r="G199" i="56"/>
  <c r="G200" i="56" s="1"/>
  <c r="H198" i="56"/>
  <c r="G198" i="56"/>
  <c r="N197" i="56"/>
  <c r="L197" i="56"/>
  <c r="N196" i="56"/>
  <c r="L196" i="56"/>
  <c r="I195" i="56"/>
  <c r="I197" i="56" s="1"/>
  <c r="V192" i="56"/>
  <c r="U192" i="56"/>
  <c r="T192" i="56"/>
  <c r="N192" i="56"/>
  <c r="M192" i="56"/>
  <c r="L192" i="56"/>
  <c r="G192" i="56"/>
  <c r="G203" i="56" s="1"/>
  <c r="V191" i="56"/>
  <c r="U191" i="56"/>
  <c r="T191" i="56"/>
  <c r="N191" i="56"/>
  <c r="M191" i="56"/>
  <c r="L191" i="56"/>
  <c r="G191" i="56"/>
  <c r="I190" i="56"/>
  <c r="I191" i="56" s="1"/>
  <c r="I192" i="56" s="1"/>
  <c r="E192" i="56" s="1"/>
  <c r="H190" i="56"/>
  <c r="G190" i="56"/>
  <c r="N187" i="56"/>
  <c r="L187" i="56"/>
  <c r="N186" i="56"/>
  <c r="L186" i="56"/>
  <c r="I186" i="56"/>
  <c r="I187" i="56" s="1"/>
  <c r="H186" i="56"/>
  <c r="H195" i="56" s="1"/>
  <c r="H197" i="56" s="1"/>
  <c r="G186" i="56"/>
  <c r="G183" i="56"/>
  <c r="E183" i="56" s="1"/>
  <c r="D183" i="56" s="1"/>
  <c r="N182" i="56"/>
  <c r="L182" i="56"/>
  <c r="E182" i="56"/>
  <c r="D182" i="56" s="1"/>
  <c r="F180" i="56"/>
  <c r="E178" i="56"/>
  <c r="D178" i="56" s="1"/>
  <c r="E173" i="56"/>
  <c r="I171" i="56"/>
  <c r="I172" i="56" s="1"/>
  <c r="F170" i="56"/>
  <c r="F171" i="56" s="1"/>
  <c r="H169" i="56"/>
  <c r="H205" i="56" s="1"/>
  <c r="G169" i="56"/>
  <c r="G205" i="56" s="1"/>
  <c r="E159" i="56"/>
  <c r="D159" i="56" s="1"/>
  <c r="E157" i="56"/>
  <c r="D157" i="56" s="1"/>
  <c r="G155" i="56"/>
  <c r="E155" i="56" s="1"/>
  <c r="D155" i="56" s="1"/>
  <c r="G148" i="56"/>
  <c r="E148" i="56" s="1"/>
  <c r="I147" i="56"/>
  <c r="G147" i="56"/>
  <c r="N145" i="56"/>
  <c r="L145" i="56"/>
  <c r="N144" i="56"/>
  <c r="L144" i="56"/>
  <c r="G144" i="56"/>
  <c r="G146" i="56" s="1"/>
  <c r="E146" i="56" s="1"/>
  <c r="I143" i="56"/>
  <c r="I144" i="56" s="1"/>
  <c r="V140" i="56"/>
  <c r="U140" i="56"/>
  <c r="T140" i="56"/>
  <c r="N140" i="56"/>
  <c r="M140" i="56"/>
  <c r="L140" i="56"/>
  <c r="G140" i="56"/>
  <c r="G151" i="56" s="1"/>
  <c r="V139" i="56"/>
  <c r="U139" i="56"/>
  <c r="T139" i="56"/>
  <c r="N139" i="56"/>
  <c r="M139" i="56"/>
  <c r="L139" i="56"/>
  <c r="G139" i="56"/>
  <c r="I138" i="56"/>
  <c r="I151" i="56" s="1"/>
  <c r="H138" i="56"/>
  <c r="G138" i="56"/>
  <c r="N135" i="56"/>
  <c r="L135" i="56"/>
  <c r="N134" i="56"/>
  <c r="L134" i="56"/>
  <c r="I134" i="56"/>
  <c r="I135" i="56" s="1"/>
  <c r="H134" i="56"/>
  <c r="H143" i="56" s="1"/>
  <c r="H145" i="56" s="1"/>
  <c r="G134" i="56"/>
  <c r="G143" i="56" s="1"/>
  <c r="G131" i="56"/>
  <c r="E131" i="56" s="1"/>
  <c r="D131" i="56" s="1"/>
  <c r="N130" i="56"/>
  <c r="L130" i="56"/>
  <c r="E130" i="56"/>
  <c r="D130" i="56" s="1"/>
  <c r="F128" i="56"/>
  <c r="E126" i="56"/>
  <c r="D126" i="56" s="1"/>
  <c r="E121" i="56"/>
  <c r="I119" i="56"/>
  <c r="I120" i="56" s="1"/>
  <c r="F118" i="56"/>
  <c r="F119" i="56" s="1"/>
  <c r="H117" i="56"/>
  <c r="H128" i="56" s="1"/>
  <c r="G117" i="56"/>
  <c r="G153" i="56" s="1"/>
  <c r="E108" i="56"/>
  <c r="D108" i="56" s="1"/>
  <c r="E106" i="56"/>
  <c r="D106" i="56" s="1"/>
  <c r="G104" i="56"/>
  <c r="E104" i="56" s="1"/>
  <c r="D104" i="56" s="1"/>
  <c r="G97" i="56"/>
  <c r="E97" i="56" s="1"/>
  <c r="I96" i="56"/>
  <c r="G96" i="56"/>
  <c r="N94" i="56"/>
  <c r="L94" i="56"/>
  <c r="N93" i="56"/>
  <c r="L93" i="56"/>
  <c r="G93" i="56"/>
  <c r="G95" i="56" s="1"/>
  <c r="E95" i="56" s="1"/>
  <c r="I92" i="56"/>
  <c r="I94" i="56" s="1"/>
  <c r="V89" i="56"/>
  <c r="U89" i="56"/>
  <c r="T89" i="56"/>
  <c r="N89" i="56"/>
  <c r="M89" i="56"/>
  <c r="L89" i="56"/>
  <c r="G89" i="56"/>
  <c r="G100" i="56" s="1"/>
  <c r="V88" i="56"/>
  <c r="U88" i="56"/>
  <c r="T88" i="56"/>
  <c r="N88" i="56"/>
  <c r="M88" i="56"/>
  <c r="L88" i="56"/>
  <c r="G88" i="56"/>
  <c r="I87" i="56"/>
  <c r="I100" i="56" s="1"/>
  <c r="H87" i="56"/>
  <c r="G87" i="56"/>
  <c r="N84" i="56"/>
  <c r="L84" i="56"/>
  <c r="N83" i="56"/>
  <c r="L83" i="56"/>
  <c r="I83" i="56"/>
  <c r="I84" i="56" s="1"/>
  <c r="H83" i="56"/>
  <c r="H92" i="56" s="1"/>
  <c r="H94" i="56" s="1"/>
  <c r="G83" i="56"/>
  <c r="G92" i="56" s="1"/>
  <c r="G80" i="56"/>
  <c r="E80" i="56" s="1"/>
  <c r="D80" i="56" s="1"/>
  <c r="N79" i="56"/>
  <c r="L79" i="56"/>
  <c r="E79" i="56"/>
  <c r="D79" i="56" s="1"/>
  <c r="F77" i="56"/>
  <c r="E75" i="56"/>
  <c r="D75" i="56" s="1"/>
  <c r="E70" i="56"/>
  <c r="I68" i="56"/>
  <c r="I69" i="56" s="1"/>
  <c r="F67" i="56"/>
  <c r="F68" i="56" s="1"/>
  <c r="H66" i="56"/>
  <c r="H102" i="56" s="1"/>
  <c r="G66" i="56"/>
  <c r="G77" i="56" s="1"/>
  <c r="E57" i="56"/>
  <c r="D57" i="56" s="1"/>
  <c r="E55" i="56"/>
  <c r="D55" i="56" s="1"/>
  <c r="G53" i="56"/>
  <c r="E53" i="56" s="1"/>
  <c r="D53" i="56" s="1"/>
  <c r="G46" i="56"/>
  <c r="E46" i="56" s="1"/>
  <c r="I45" i="56"/>
  <c r="G45" i="56"/>
  <c r="N43" i="56"/>
  <c r="L43" i="56"/>
  <c r="N42" i="56"/>
  <c r="L42" i="56"/>
  <c r="G42" i="56"/>
  <c r="G44" i="56" s="1"/>
  <c r="E44" i="56" s="1"/>
  <c r="I41" i="56"/>
  <c r="I43" i="56" s="1"/>
  <c r="V38" i="56"/>
  <c r="U38" i="56"/>
  <c r="T38" i="56"/>
  <c r="N38" i="56"/>
  <c r="M38" i="56"/>
  <c r="L38" i="56"/>
  <c r="G38" i="56"/>
  <c r="G49" i="56" s="1"/>
  <c r="V37" i="56"/>
  <c r="U37" i="56"/>
  <c r="T37" i="56"/>
  <c r="N37" i="56"/>
  <c r="M37" i="56"/>
  <c r="L37" i="56"/>
  <c r="G37" i="56"/>
  <c r="I36" i="56"/>
  <c r="I49" i="56" s="1"/>
  <c r="H36" i="56"/>
  <c r="G36" i="56"/>
  <c r="N33" i="56"/>
  <c r="L33" i="56"/>
  <c r="N32" i="56"/>
  <c r="L32" i="56"/>
  <c r="I32" i="56"/>
  <c r="I33" i="56" s="1"/>
  <c r="H32" i="56"/>
  <c r="H41" i="56" s="1"/>
  <c r="H43" i="56" s="1"/>
  <c r="G32" i="56"/>
  <c r="G41" i="56" s="1"/>
  <c r="G29" i="56"/>
  <c r="E29" i="56" s="1"/>
  <c r="D29" i="56" s="1"/>
  <c r="N28" i="56"/>
  <c r="L28" i="56"/>
  <c r="E28" i="56"/>
  <c r="D28" i="56" s="1"/>
  <c r="F26" i="56"/>
  <c r="E24" i="56"/>
  <c r="D24" i="56" s="1"/>
  <c r="E19" i="56"/>
  <c r="I17" i="56"/>
  <c r="I18" i="56" s="1"/>
  <c r="F16" i="56"/>
  <c r="F17" i="56" s="1"/>
  <c r="H15" i="56"/>
  <c r="H26" i="56" s="1"/>
  <c r="G15" i="56"/>
  <c r="G51" i="56" s="1"/>
  <c r="E212" i="59" l="1"/>
  <c r="E158" i="59"/>
  <c r="Q97" i="59"/>
  <c r="E51" i="59"/>
  <c r="E96" i="56"/>
  <c r="Q44" i="59"/>
  <c r="Q82" i="59"/>
  <c r="F84" i="59" s="1"/>
  <c r="E84" i="59" s="1"/>
  <c r="D84" i="59" s="1"/>
  <c r="E144" i="56"/>
  <c r="E43" i="58"/>
  <c r="E250" i="56"/>
  <c r="Q81" i="60"/>
  <c r="F83" i="60" s="1"/>
  <c r="E83" i="60" s="1"/>
  <c r="D83" i="60" s="1"/>
  <c r="E255" i="58"/>
  <c r="Y38" i="57"/>
  <c r="G246" i="58"/>
  <c r="E246" i="58" s="1"/>
  <c r="D246" i="58" s="1"/>
  <c r="Q29" i="60"/>
  <c r="F31" i="60" s="1"/>
  <c r="E31" i="60" s="1"/>
  <c r="D31" i="60" s="1"/>
  <c r="E220" i="56"/>
  <c r="D220" i="56" s="1"/>
  <c r="Q145" i="58"/>
  <c r="E100" i="60"/>
  <c r="Q135" i="56"/>
  <c r="Y140" i="56"/>
  <c r="Q135" i="58"/>
  <c r="F811" i="43"/>
  <c r="F822" i="43"/>
  <c r="F681" i="43"/>
  <c r="F826" i="43"/>
  <c r="F784" i="43"/>
  <c r="F821" i="43"/>
  <c r="F777" i="43"/>
  <c r="F684" i="43"/>
  <c r="F810" i="43"/>
  <c r="F795" i="43"/>
  <c r="F834" i="43"/>
  <c r="F865" i="43"/>
  <c r="F871" i="43"/>
  <c r="F861" i="43"/>
  <c r="F136" i="43"/>
  <c r="F141" i="43"/>
  <c r="F461" i="43"/>
  <c r="F887" i="43"/>
  <c r="F882" i="43"/>
  <c r="F146" i="43"/>
  <c r="F329" i="43"/>
  <c r="F892" i="43"/>
  <c r="F456" i="43"/>
  <c r="F334" i="43"/>
  <c r="AP55" i="61"/>
  <c r="AP12" i="61" s="1"/>
  <c r="F775" i="43"/>
  <c r="F400" i="43"/>
  <c r="F87" i="43"/>
  <c r="F156" i="43"/>
  <c r="F554" i="43"/>
  <c r="F744" i="43"/>
  <c r="F466" i="43"/>
  <c r="F745" i="43"/>
  <c r="F746" i="43"/>
  <c r="F283" i="43"/>
  <c r="F151" i="43"/>
  <c r="F324" i="43"/>
  <c r="F615" i="43"/>
  <c r="F625" i="43"/>
  <c r="F610" i="43"/>
  <c r="F620" i="43"/>
  <c r="F630" i="43"/>
  <c r="F765" i="43"/>
  <c r="F758" i="43"/>
  <c r="F125" i="43"/>
  <c r="F104" i="43"/>
  <c r="F565" i="43"/>
  <c r="F309" i="43"/>
  <c r="F595" i="43"/>
  <c r="F859" i="43"/>
  <c r="F869" i="43"/>
  <c r="F640" i="43"/>
  <c r="F577" i="43"/>
  <c r="F680" i="43"/>
  <c r="F806" i="43"/>
  <c r="F814" i="43"/>
  <c r="F830" i="43"/>
  <c r="F597" i="43"/>
  <c r="F368" i="43"/>
  <c r="F191" i="43"/>
  <c r="F449" i="43"/>
  <c r="F579" i="43"/>
  <c r="F236" i="43"/>
  <c r="F431" i="43"/>
  <c r="F183" i="43"/>
  <c r="F232" i="43"/>
  <c r="F425" i="43"/>
  <c r="F445" i="43"/>
  <c r="F506" i="43"/>
  <c r="F107" i="43"/>
  <c r="F207" i="43"/>
  <c r="F316" i="43"/>
  <c r="F298" i="43"/>
  <c r="F420" i="43"/>
  <c r="F604" i="43"/>
  <c r="F588" i="43"/>
  <c r="F572" i="43"/>
  <c r="F199" i="43"/>
  <c r="F312" i="43"/>
  <c r="F294" i="43"/>
  <c r="F415" i="43"/>
  <c r="F434" i="43"/>
  <c r="F601" i="43"/>
  <c r="F584" i="43"/>
  <c r="F568" i="43"/>
  <c r="F369" i="43"/>
  <c r="F432" i="43"/>
  <c r="F602" i="43"/>
  <c r="F204" i="43"/>
  <c r="F320" i="43"/>
  <c r="F302" i="43"/>
  <c r="F802" i="43"/>
  <c r="F772" i="43"/>
  <c r="F187" i="43"/>
  <c r="F414" i="43"/>
  <c r="F836" i="43"/>
  <c r="F292" i="43"/>
  <c r="F603" i="43"/>
  <c r="F192" i="43"/>
  <c r="F200" i="43"/>
  <c r="F233" i="43"/>
  <c r="F317" i="43"/>
  <c r="F310" i="43"/>
  <c r="F421" i="43"/>
  <c r="F446" i="43"/>
  <c r="F439" i="43"/>
  <c r="F605" i="43"/>
  <c r="F580" i="43"/>
  <c r="F573" i="43"/>
  <c r="F566" i="43"/>
  <c r="F649" i="43"/>
  <c r="F641" i="43"/>
  <c r="F789" i="43"/>
  <c r="F801" i="43"/>
  <c r="F862" i="43"/>
  <c r="F208" i="43"/>
  <c r="F299" i="43"/>
  <c r="F365" i="43"/>
  <c r="F413" i="43"/>
  <c r="F435" i="43"/>
  <c r="F503" i="43"/>
  <c r="F598" i="43"/>
  <c r="F677" i="43"/>
  <c r="F759" i="43"/>
  <c r="F770" i="43"/>
  <c r="F785" i="43"/>
  <c r="F807" i="43"/>
  <c r="F797" i="43"/>
  <c r="F831" i="43"/>
  <c r="F847" i="43"/>
  <c r="F876" i="43"/>
  <c r="F188" i="43"/>
  <c r="F237" i="43"/>
  <c r="F313" i="43"/>
  <c r="F306" i="43"/>
  <c r="F373" i="43"/>
  <c r="F426" i="43"/>
  <c r="F416" i="43"/>
  <c r="F450" i="43"/>
  <c r="F442" i="43"/>
  <c r="F507" i="43"/>
  <c r="F585" i="43"/>
  <c r="F569" i="43"/>
  <c r="F645" i="43"/>
  <c r="F766" i="43"/>
  <c r="F781" i="43"/>
  <c r="F792" i="43"/>
  <c r="F815" i="43"/>
  <c r="F866" i="43"/>
  <c r="F872" i="43"/>
  <c r="F124" i="43"/>
  <c r="F201" i="43"/>
  <c r="F303" i="43"/>
  <c r="F427" i="43"/>
  <c r="F436" i="43"/>
  <c r="F812" i="43"/>
  <c r="F650" i="43"/>
  <c r="F779" i="43"/>
  <c r="F768" i="43"/>
  <c r="F823" i="43"/>
  <c r="F30" i="43"/>
  <c r="F113" i="43"/>
  <c r="F120" i="43"/>
  <c r="F109" i="43"/>
  <c r="F110" i="43"/>
  <c r="F100" i="43"/>
  <c r="F101" i="43"/>
  <c r="F32" i="43"/>
  <c r="F111" i="43"/>
  <c r="F105" i="43"/>
  <c r="F36" i="43"/>
  <c r="F130" i="43"/>
  <c r="F123" i="43"/>
  <c r="F184" i="43"/>
  <c r="F33" i="43"/>
  <c r="F127" i="43"/>
  <c r="F128" i="43"/>
  <c r="F181" i="43"/>
  <c r="F234" i="43"/>
  <c r="F296" i="43"/>
  <c r="F410" i="43"/>
  <c r="F417" i="43"/>
  <c r="F606" i="43"/>
  <c r="F581" i="43"/>
  <c r="F678" i="43"/>
  <c r="F763" i="43"/>
  <c r="F767" i="43"/>
  <c r="F790" i="43"/>
  <c r="F808" i="43"/>
  <c r="F852" i="43"/>
  <c r="F863" i="43"/>
  <c r="F873" i="43"/>
  <c r="F37" i="43"/>
  <c r="F197" i="43"/>
  <c r="F205" i="43"/>
  <c r="F318" i="43"/>
  <c r="F370" i="43"/>
  <c r="F429" i="43"/>
  <c r="F451" i="43"/>
  <c r="F508" i="43"/>
  <c r="F596" i="43"/>
  <c r="F574" i="43"/>
  <c r="F642" i="43"/>
  <c r="F771" i="43"/>
  <c r="F793" i="43"/>
  <c r="F782" i="43"/>
  <c r="F798" i="43"/>
  <c r="F827" i="43"/>
  <c r="F185" i="43"/>
  <c r="F210" i="43"/>
  <c r="F311" i="43"/>
  <c r="F567" i="43"/>
  <c r="F760" i="43"/>
  <c r="F778" i="43"/>
  <c r="F786" i="43"/>
  <c r="F819" i="43"/>
  <c r="F832" i="43"/>
  <c r="F877" i="43"/>
  <c r="K51" i="63"/>
  <c r="F117" i="43"/>
  <c r="F31" i="43"/>
  <c r="F108" i="43"/>
  <c r="F122" i="43"/>
  <c r="F132" i="43"/>
  <c r="F211" i="43"/>
  <c r="F297" i="43"/>
  <c r="F119" i="43"/>
  <c r="F195" i="43"/>
  <c r="F203" i="43"/>
  <c r="F305" i="43"/>
  <c r="F319" i="43"/>
  <c r="F372" i="43"/>
  <c r="F412" i="43"/>
  <c r="F438" i="43"/>
  <c r="F510" i="43"/>
  <c r="F576" i="43"/>
  <c r="F594" i="43"/>
  <c r="F762" i="43"/>
  <c r="F769" i="43"/>
  <c r="F780" i="43"/>
  <c r="F788" i="43"/>
  <c r="F800" i="43"/>
  <c r="F817" i="43"/>
  <c r="F825" i="43"/>
  <c r="F868" i="43"/>
  <c r="F875" i="43"/>
  <c r="F106" i="43"/>
  <c r="F115" i="43"/>
  <c r="F126" i="43"/>
  <c r="F202" i="43"/>
  <c r="F293" i="43"/>
  <c r="F103" i="43"/>
  <c r="F112" i="43"/>
  <c r="F118" i="43"/>
  <c r="F198" i="43"/>
  <c r="F206" i="43"/>
  <c r="F231" i="43"/>
  <c r="F235" i="43"/>
  <c r="F301" i="43"/>
  <c r="F99" i="43"/>
  <c r="F129" i="43"/>
  <c r="F114" i="43"/>
  <c r="F102" i="43"/>
  <c r="F189" i="43"/>
  <c r="F238" i="43"/>
  <c r="F314" i="43"/>
  <c r="F300" i="43"/>
  <c r="F366" i="43"/>
  <c r="F422" i="43"/>
  <c r="F447" i="43"/>
  <c r="F433" i="43"/>
  <c r="F504" i="43"/>
  <c r="F586" i="43"/>
  <c r="F570" i="43"/>
  <c r="F304" i="43"/>
  <c r="F308" i="43"/>
  <c r="F367" i="43"/>
  <c r="F371" i="43"/>
  <c r="F411" i="43"/>
  <c r="F418" i="43"/>
  <c r="F424" i="43"/>
  <c r="F428" i="43"/>
  <c r="F430" i="43"/>
  <c r="F437" i="43"/>
  <c r="F441" i="43"/>
  <c r="F444" i="43"/>
  <c r="F448" i="43"/>
  <c r="F452" i="43"/>
  <c r="F564" i="43"/>
  <c r="F571" i="43"/>
  <c r="F575" i="43"/>
  <c r="F578" i="43"/>
  <c r="F583" i="43"/>
  <c r="F587" i="43"/>
  <c r="F590" i="43"/>
  <c r="F600" i="43"/>
  <c r="F643" i="43"/>
  <c r="F647" i="43"/>
  <c r="F651" i="43"/>
  <c r="F679" i="43"/>
  <c r="F683" i="43"/>
  <c r="F761" i="43"/>
  <c r="F764" i="43"/>
  <c r="F783" i="43"/>
  <c r="F787" i="43"/>
  <c r="F791" i="43"/>
  <c r="F794" i="43"/>
  <c r="F799" i="43"/>
  <c r="F805" i="43"/>
  <c r="F809" i="43"/>
  <c r="F820" i="43"/>
  <c r="F816" i="43"/>
  <c r="F813" i="43"/>
  <c r="F35" i="43"/>
  <c r="F194" i="43"/>
  <c r="F190" i="43"/>
  <c r="F186" i="43"/>
  <c r="F182" i="43"/>
  <c r="F509" i="43"/>
  <c r="F505" i="43"/>
  <c r="F38" i="43"/>
  <c r="F34" i="43"/>
  <c r="M44" i="61"/>
  <c r="AX55" i="61"/>
  <c r="AX12" i="61" s="1"/>
  <c r="BC55" i="61"/>
  <c r="BC12" i="61" s="1"/>
  <c r="BG55" i="61"/>
  <c r="BG12" i="61" s="1"/>
  <c r="BF55" i="61"/>
  <c r="BF12" i="61" s="1"/>
  <c r="BE55" i="61"/>
  <c r="BE12" i="61" s="1"/>
  <c r="BD55" i="61"/>
  <c r="BD12" i="61" s="1"/>
  <c r="BB55" i="61"/>
  <c r="BB12" i="61" s="1"/>
  <c r="AT55" i="61"/>
  <c r="AT12" i="61" s="1"/>
  <c r="AQ55" i="61"/>
  <c r="AQ12" i="61" s="1"/>
  <c r="AU55" i="61"/>
  <c r="AU12" i="61" s="1"/>
  <c r="AY55" i="61"/>
  <c r="AY12" i="61" s="1"/>
  <c r="AS55" i="61"/>
  <c r="AS12" i="61" s="1"/>
  <c r="AW55" i="61"/>
  <c r="AW12" i="61" s="1"/>
  <c r="BA55" i="61"/>
  <c r="BA12" i="61" s="1"/>
  <c r="AR55" i="61"/>
  <c r="AR12" i="61" s="1"/>
  <c r="AV55" i="61"/>
  <c r="AV12" i="61" s="1"/>
  <c r="AZ55" i="61"/>
  <c r="AZ12" i="61" s="1"/>
  <c r="S46" i="61"/>
  <c r="S42" i="61"/>
  <c r="AE42" i="61"/>
  <c r="AE46" i="61"/>
  <c r="Y14" i="61"/>
  <c r="Y53" i="61"/>
  <c r="Y49" i="61"/>
  <c r="Y45" i="61"/>
  <c r="Y50" i="61"/>
  <c r="Y46" i="61"/>
  <c r="Y42" i="61"/>
  <c r="Y52" i="61"/>
  <c r="Y51" i="61"/>
  <c r="Y47" i="61"/>
  <c r="Y43" i="61"/>
  <c r="Y41" i="61"/>
  <c r="M41" i="61"/>
  <c r="M43" i="61"/>
  <c r="S45" i="61"/>
  <c r="AE45" i="61"/>
  <c r="M47" i="61"/>
  <c r="S49" i="61"/>
  <c r="AE49" i="61"/>
  <c r="M51" i="61"/>
  <c r="S53" i="61"/>
  <c r="AE53" i="61"/>
  <c r="M42" i="61"/>
  <c r="S44" i="61"/>
  <c r="AE44" i="61"/>
  <c r="M46" i="61"/>
  <c r="S48" i="61"/>
  <c r="AE48" i="61"/>
  <c r="M50" i="61"/>
  <c r="S52" i="61"/>
  <c r="AE52" i="61"/>
  <c r="S41" i="61"/>
  <c r="AE41" i="61"/>
  <c r="S43" i="61"/>
  <c r="AE43" i="61"/>
  <c r="M45" i="61"/>
  <c r="S47" i="61"/>
  <c r="AE47" i="61"/>
  <c r="M49" i="61"/>
  <c r="M14" i="61"/>
  <c r="M25" i="61"/>
  <c r="M31" i="61"/>
  <c r="AE37" i="61"/>
  <c r="M27" i="61"/>
  <c r="M32" i="61"/>
  <c r="M29" i="61"/>
  <c r="M35" i="61"/>
  <c r="S17" i="61"/>
  <c r="M33" i="61"/>
  <c r="T10" i="61"/>
  <c r="T24" i="61" s="1"/>
  <c r="S18" i="61"/>
  <c r="S14" i="61"/>
  <c r="AE14" i="61"/>
  <c r="S16" i="61"/>
  <c r="M23" i="61"/>
  <c r="M34" i="61"/>
  <c r="S15" i="61"/>
  <c r="S38" i="61"/>
  <c r="AM55" i="61"/>
  <c r="AM12" i="61" s="1"/>
  <c r="BK55" i="61"/>
  <c r="BK12" i="61" s="1"/>
  <c r="AD55" i="61"/>
  <c r="AD12" i="61" s="1"/>
  <c r="AL55" i="61"/>
  <c r="AL12" i="61" s="1"/>
  <c r="BJ55" i="61"/>
  <c r="BJ12" i="61" s="1"/>
  <c r="R55" i="61"/>
  <c r="R12" i="61" s="1"/>
  <c r="T35" i="61"/>
  <c r="T20" i="61"/>
  <c r="Y23" i="61"/>
  <c r="Y40" i="61"/>
  <c r="Y39" i="61"/>
  <c r="Y38" i="61"/>
  <c r="Y37" i="61"/>
  <c r="Y35" i="61"/>
  <c r="Y34" i="61"/>
  <c r="Y33" i="61"/>
  <c r="Y32" i="61"/>
  <c r="Y31" i="61"/>
  <c r="Y18" i="61"/>
  <c r="Y17" i="61"/>
  <c r="Y16" i="61"/>
  <c r="Y15" i="61"/>
  <c r="Y28" i="61"/>
  <c r="Y24" i="61"/>
  <c r="Y22" i="61"/>
  <c r="Y20" i="61"/>
  <c r="Z10" i="61"/>
  <c r="Y29" i="61"/>
  <c r="Y27" i="61"/>
  <c r="Y19" i="61"/>
  <c r="Y25" i="61"/>
  <c r="AE40" i="61"/>
  <c r="AE38" i="61"/>
  <c r="AE35" i="61"/>
  <c r="AE34" i="61"/>
  <c r="AE33" i="61"/>
  <c r="AE32" i="61"/>
  <c r="AE31" i="61"/>
  <c r="AE29" i="61"/>
  <c r="AE28" i="61"/>
  <c r="AE27" i="61"/>
  <c r="AE25" i="61"/>
  <c r="AE24" i="61"/>
  <c r="AE23" i="61"/>
  <c r="AE22" i="61"/>
  <c r="AE20" i="61"/>
  <c r="AE19" i="61"/>
  <c r="AE15" i="61"/>
  <c r="AE16" i="61"/>
  <c r="AE17" i="61"/>
  <c r="AE18" i="61"/>
  <c r="M40" i="61"/>
  <c r="M39" i="61"/>
  <c r="M38" i="61"/>
  <c r="M37" i="61"/>
  <c r="AF10" i="61"/>
  <c r="L55" i="61"/>
  <c r="L12" i="61" s="1"/>
  <c r="X55" i="61"/>
  <c r="X12" i="61" s="1"/>
  <c r="AJ55" i="61"/>
  <c r="AJ12" i="61" s="1"/>
  <c r="AN55" i="61"/>
  <c r="AN12" i="61" s="1"/>
  <c r="BH55" i="61"/>
  <c r="BH12" i="61" s="1"/>
  <c r="BL55" i="61"/>
  <c r="BL12" i="61" s="1"/>
  <c r="AE39" i="61"/>
  <c r="S40" i="61"/>
  <c r="N10" i="61"/>
  <c r="S39" i="61"/>
  <c r="S37" i="61"/>
  <c r="S29" i="61"/>
  <c r="S28" i="61"/>
  <c r="S27" i="61"/>
  <c r="S25" i="61"/>
  <c r="S24" i="61"/>
  <c r="S23" i="61"/>
  <c r="S22" i="61"/>
  <c r="S20" i="61"/>
  <c r="S19" i="61"/>
  <c r="AK55" i="61"/>
  <c r="AK12" i="61" s="1"/>
  <c r="AO55" i="61"/>
  <c r="AO12" i="61" s="1"/>
  <c r="BI55" i="61"/>
  <c r="BI12" i="61" s="1"/>
  <c r="BM55" i="61"/>
  <c r="BM12" i="61" s="1"/>
  <c r="M15" i="61"/>
  <c r="M16" i="61"/>
  <c r="M17" i="61"/>
  <c r="M18" i="61"/>
  <c r="M19" i="61"/>
  <c r="M22" i="61"/>
  <c r="M24" i="61"/>
  <c r="M28" i="61"/>
  <c r="S31" i="61"/>
  <c r="S32" i="61"/>
  <c r="S33" i="61"/>
  <c r="S34" i="61"/>
  <c r="S35" i="61"/>
  <c r="E46" i="57"/>
  <c r="E146" i="57"/>
  <c r="D146" i="57" s="1"/>
  <c r="Q207" i="57"/>
  <c r="F209" i="57" s="1"/>
  <c r="E209" i="57" s="1"/>
  <c r="D209" i="57" s="1"/>
  <c r="Q44" i="57"/>
  <c r="Q95" i="57"/>
  <c r="Q199" i="57"/>
  <c r="I43" i="57"/>
  <c r="E43" i="57" s="1"/>
  <c r="Q85" i="57"/>
  <c r="Q142" i="57"/>
  <c r="E188" i="57"/>
  <c r="D188" i="57" s="1"/>
  <c r="Q138" i="57"/>
  <c r="F140" i="57" s="1"/>
  <c r="E140" i="57" s="1"/>
  <c r="D140" i="57" s="1"/>
  <c r="Q143" i="57"/>
  <c r="Q144" i="57" s="1"/>
  <c r="F144" i="57" s="1"/>
  <c r="E144" i="57" s="1"/>
  <c r="D144" i="57" s="1"/>
  <c r="E154" i="57"/>
  <c r="E197" i="58"/>
  <c r="D197" i="58" s="1"/>
  <c r="Y39" i="58"/>
  <c r="E97" i="58"/>
  <c r="Q250" i="58"/>
  <c r="Q33" i="58"/>
  <c r="E88" i="58"/>
  <c r="D88" i="58" s="1"/>
  <c r="Q140" i="58"/>
  <c r="E205" i="58"/>
  <c r="E151" i="60"/>
  <c r="H69" i="60"/>
  <c r="H70" i="60" s="1"/>
  <c r="H73" i="60" s="1"/>
  <c r="E89" i="60"/>
  <c r="D89" i="60" s="1"/>
  <c r="E99" i="60"/>
  <c r="Q39" i="60"/>
  <c r="Q86" i="60"/>
  <c r="E98" i="60"/>
  <c r="G139" i="60"/>
  <c r="E139" i="60" s="1"/>
  <c r="D139" i="60" s="1"/>
  <c r="I44" i="60"/>
  <c r="E33" i="60"/>
  <c r="D33" i="60" s="1"/>
  <c r="Q33" i="60"/>
  <c r="Q143" i="60"/>
  <c r="I96" i="59"/>
  <c r="E96" i="59" s="1"/>
  <c r="Q86" i="59"/>
  <c r="E266" i="59"/>
  <c r="Q309" i="59"/>
  <c r="E50" i="59"/>
  <c r="E204" i="59"/>
  <c r="Q248" i="59"/>
  <c r="F250" i="59" s="1"/>
  <c r="E250" i="59" s="1"/>
  <c r="D250" i="59" s="1"/>
  <c r="Q253" i="59"/>
  <c r="Q262" i="59"/>
  <c r="E37" i="59"/>
  <c r="D37" i="59" s="1"/>
  <c r="I38" i="59"/>
  <c r="I39" i="59" s="1"/>
  <c r="E39" i="59" s="1"/>
  <c r="Q39" i="59"/>
  <c r="I43" i="59"/>
  <c r="E43" i="59" s="1"/>
  <c r="E99" i="59"/>
  <c r="Q136" i="59"/>
  <c r="F138" i="59" s="1"/>
  <c r="E138" i="59" s="1"/>
  <c r="D138" i="59" s="1"/>
  <c r="Q151" i="59"/>
  <c r="Q194" i="59"/>
  <c r="E264" i="59"/>
  <c r="H17" i="59"/>
  <c r="H18" i="59" s="1"/>
  <c r="H21" i="59" s="1"/>
  <c r="E69" i="59"/>
  <c r="D69" i="59" s="1"/>
  <c r="Q146" i="59"/>
  <c r="I150" i="59"/>
  <c r="E150" i="59" s="1"/>
  <c r="H236" i="59"/>
  <c r="H237" i="59" s="1"/>
  <c r="H240" i="59" s="1"/>
  <c r="E256" i="59"/>
  <c r="D256" i="59" s="1"/>
  <c r="E265" i="59"/>
  <c r="Q317" i="59"/>
  <c r="F319" i="59" s="1"/>
  <c r="E319" i="59" s="1"/>
  <c r="D319" i="59" s="1"/>
  <c r="E54" i="59"/>
  <c r="D54" i="59" s="1"/>
  <c r="Q29" i="59"/>
  <c r="F31" i="59" s="1"/>
  <c r="E31" i="59" s="1"/>
  <c r="D31" i="59" s="1"/>
  <c r="Q34" i="59"/>
  <c r="Q92" i="59"/>
  <c r="Q140" i="59"/>
  <c r="E177" i="59"/>
  <c r="D177" i="59" s="1"/>
  <c r="Q190" i="59"/>
  <c r="F192" i="59" s="1"/>
  <c r="E192" i="59" s="1"/>
  <c r="D192" i="59" s="1"/>
  <c r="Q195" i="59"/>
  <c r="Y200" i="59"/>
  <c r="E271" i="59"/>
  <c r="D271" i="59" s="1"/>
  <c r="Q80" i="58"/>
  <c r="F82" i="58" s="1"/>
  <c r="E82" i="58" s="1"/>
  <c r="D82" i="58" s="1"/>
  <c r="Q85" i="58"/>
  <c r="Q95" i="58"/>
  <c r="Q189" i="58"/>
  <c r="F191" i="58" s="1"/>
  <c r="E191" i="58" s="1"/>
  <c r="D191" i="58" s="1"/>
  <c r="Q194" i="58"/>
  <c r="Q246" i="58"/>
  <c r="Q247" i="58" s="1"/>
  <c r="F247" i="58" s="1"/>
  <c r="E247" i="58" s="1"/>
  <c r="D247" i="58" s="1"/>
  <c r="G254" i="58"/>
  <c r="G256" i="58" s="1"/>
  <c r="G262" i="58" s="1"/>
  <c r="Q258" i="58"/>
  <c r="F260" i="58" s="1"/>
  <c r="E260" i="58" s="1"/>
  <c r="D260" i="58" s="1"/>
  <c r="I44" i="58"/>
  <c r="G258" i="58"/>
  <c r="E258" i="58" s="1"/>
  <c r="E16" i="58"/>
  <c r="D16" i="58" s="1"/>
  <c r="G17" i="58"/>
  <c r="G18" i="58" s="1"/>
  <c r="G21" i="58" s="1"/>
  <c r="Q29" i="58"/>
  <c r="F31" i="58" s="1"/>
  <c r="E31" i="58" s="1"/>
  <c r="D31" i="58" s="1"/>
  <c r="E37" i="58"/>
  <c r="D37" i="58" s="1"/>
  <c r="Y38" i="58"/>
  <c r="Y40" i="58" s="1"/>
  <c r="Q44" i="58"/>
  <c r="Q84" i="58"/>
  <c r="Y89" i="58"/>
  <c r="Y90" i="58"/>
  <c r="Q94" i="58"/>
  <c r="E118" i="58"/>
  <c r="D118" i="58" s="1"/>
  <c r="G119" i="58"/>
  <c r="G120" i="58" s="1"/>
  <c r="G123" i="58" s="1"/>
  <c r="Q131" i="58"/>
  <c r="F133" i="58" s="1"/>
  <c r="E133" i="58" s="1"/>
  <c r="D133" i="58" s="1"/>
  <c r="Q193" i="58"/>
  <c r="Q195" i="58" s="1"/>
  <c r="F195" i="58" s="1"/>
  <c r="E195" i="58" s="1"/>
  <c r="D195" i="58" s="1"/>
  <c r="Y198" i="58"/>
  <c r="Y199" i="58"/>
  <c r="I210" i="58"/>
  <c r="E210" i="58" s="1"/>
  <c r="D210" i="58" s="1"/>
  <c r="E245" i="58"/>
  <c r="E254" i="58" s="1"/>
  <c r="Q245" i="58"/>
  <c r="G195" i="57"/>
  <c r="Y39" i="57"/>
  <c r="Y40" i="57" s="1"/>
  <c r="I94" i="57"/>
  <c r="E94" i="57" s="1"/>
  <c r="E147" i="57"/>
  <c r="D147" i="57" s="1"/>
  <c r="Y147" i="57"/>
  <c r="Y148" i="57"/>
  <c r="Q195" i="57"/>
  <c r="E88" i="57"/>
  <c r="D88" i="57" s="1"/>
  <c r="Y89" i="57"/>
  <c r="G118" i="56"/>
  <c r="G119" i="56" s="1"/>
  <c r="G122" i="56" s="1"/>
  <c r="E147" i="56"/>
  <c r="Q28" i="56"/>
  <c r="F30" i="56" s="1"/>
  <c r="E30" i="56" s="1"/>
  <c r="D30" i="56" s="1"/>
  <c r="Q233" i="56"/>
  <c r="F235" i="56" s="1"/>
  <c r="E235" i="56" s="1"/>
  <c r="D235" i="56" s="1"/>
  <c r="E231" i="56"/>
  <c r="D231" i="56" s="1"/>
  <c r="E190" i="56"/>
  <c r="D190" i="56" s="1"/>
  <c r="Q191" i="56"/>
  <c r="Q192" i="56"/>
  <c r="Q197" i="56"/>
  <c r="E199" i="56"/>
  <c r="E237" i="56"/>
  <c r="E246" i="56" s="1"/>
  <c r="Q237" i="56"/>
  <c r="I42" i="56"/>
  <c r="E117" i="56"/>
  <c r="D117" i="56" s="1"/>
  <c r="E186" i="56"/>
  <c r="D186" i="56" s="1"/>
  <c r="E32" i="56"/>
  <c r="D32" i="56" s="1"/>
  <c r="Q32" i="56"/>
  <c r="E36" i="56"/>
  <c r="D36" i="56" s="1"/>
  <c r="Y37" i="56"/>
  <c r="E45" i="56"/>
  <c r="Q84" i="56"/>
  <c r="Y89" i="56"/>
  <c r="E198" i="56"/>
  <c r="E200" i="56"/>
  <c r="E247" i="56"/>
  <c r="H161" i="57"/>
  <c r="E161" i="57" s="1"/>
  <c r="D161" i="57" s="1"/>
  <c r="H126" i="57"/>
  <c r="H127" i="57" s="1"/>
  <c r="H130" i="57" s="1"/>
  <c r="H156" i="57"/>
  <c r="E156" i="57" s="1"/>
  <c r="E155" i="57"/>
  <c r="G239" i="58"/>
  <c r="E239" i="58" s="1"/>
  <c r="D239" i="58" s="1"/>
  <c r="E228" i="58"/>
  <c r="D228" i="58" s="1"/>
  <c r="Q37" i="56"/>
  <c r="Q42" i="56"/>
  <c r="E66" i="56"/>
  <c r="D66" i="56" s="1"/>
  <c r="Q89" i="56"/>
  <c r="Q93" i="56"/>
  <c r="Q130" i="56"/>
  <c r="F132" i="56" s="1"/>
  <c r="E132" i="56" s="1"/>
  <c r="D132" i="56" s="1"/>
  <c r="E134" i="56"/>
  <c r="D134" i="56" s="1"/>
  <c r="Q134" i="56"/>
  <c r="Q140" i="56"/>
  <c r="I145" i="56"/>
  <c r="H170" i="56"/>
  <c r="H171" i="56" s="1"/>
  <c r="H174" i="56" s="1"/>
  <c r="Q182" i="56"/>
  <c r="F184" i="56" s="1"/>
  <c r="E184" i="56" s="1"/>
  <c r="D184" i="56" s="1"/>
  <c r="Q187" i="56"/>
  <c r="G221" i="56"/>
  <c r="G222" i="56" s="1"/>
  <c r="G223" i="56" s="1"/>
  <c r="E223" i="56" s="1"/>
  <c r="F226" i="56" s="1"/>
  <c r="E226" i="56" s="1"/>
  <c r="D226" i="56" s="1"/>
  <c r="Q242" i="56"/>
  <c r="G238" i="56"/>
  <c r="E238" i="56" s="1"/>
  <c r="D238" i="56" s="1"/>
  <c r="H42" i="58"/>
  <c r="H44" i="58" s="1"/>
  <c r="E44" i="58" s="1"/>
  <c r="E33" i="58"/>
  <c r="D33" i="58" s="1"/>
  <c r="H144" i="58"/>
  <c r="H146" i="58" s="1"/>
  <c r="E135" i="58"/>
  <c r="D135" i="58" s="1"/>
  <c r="I145" i="58"/>
  <c r="E145" i="58" s="1"/>
  <c r="I146" i="58"/>
  <c r="I195" i="57"/>
  <c r="E194" i="57"/>
  <c r="E203" i="57" s="1"/>
  <c r="G305" i="59"/>
  <c r="E305" i="59" s="1"/>
  <c r="D305" i="59" s="1"/>
  <c r="E304" i="59"/>
  <c r="E313" i="59" s="1"/>
  <c r="E15" i="56"/>
  <c r="D15" i="56" s="1"/>
  <c r="Q33" i="56"/>
  <c r="Y38" i="56"/>
  <c r="E42" i="56"/>
  <c r="Q79" i="56"/>
  <c r="F81" i="56" s="1"/>
  <c r="E81" i="56" s="1"/>
  <c r="D81" i="56" s="1"/>
  <c r="E83" i="56"/>
  <c r="D83" i="56" s="1"/>
  <c r="Q83" i="56"/>
  <c r="E87" i="56"/>
  <c r="D87" i="56" s="1"/>
  <c r="Q88" i="56"/>
  <c r="Y88" i="56"/>
  <c r="E138" i="56"/>
  <c r="D138" i="56" s="1"/>
  <c r="Y139" i="56"/>
  <c r="Y141" i="56" s="1"/>
  <c r="Q145" i="56"/>
  <c r="E205" i="56"/>
  <c r="D205" i="56" s="1"/>
  <c r="Q196" i="56"/>
  <c r="F222" i="56"/>
  <c r="F225" i="56" s="1"/>
  <c r="G52" i="57"/>
  <c r="G17" i="57"/>
  <c r="G18" i="57" s="1"/>
  <c r="G21" i="57" s="1"/>
  <c r="E16" i="57"/>
  <c r="D16" i="57" s="1"/>
  <c r="G27" i="57"/>
  <c r="E27" i="57" s="1"/>
  <c r="D27" i="57" s="1"/>
  <c r="H136" i="57"/>
  <c r="H103" i="58"/>
  <c r="H68" i="58"/>
  <c r="H69" i="58" s="1"/>
  <c r="H72" i="58" s="1"/>
  <c r="H212" i="58"/>
  <c r="E212" i="58" s="1"/>
  <c r="D212" i="58" s="1"/>
  <c r="H177" i="58"/>
  <c r="H178" i="58" s="1"/>
  <c r="H181" i="58" s="1"/>
  <c r="H207" i="58"/>
  <c r="E206" i="58"/>
  <c r="E287" i="59"/>
  <c r="D287" i="59" s="1"/>
  <c r="G288" i="59"/>
  <c r="G289" i="59" s="1"/>
  <c r="G290" i="59" s="1"/>
  <c r="E290" i="59" s="1"/>
  <c r="F293" i="59" s="1"/>
  <c r="E293" i="59" s="1"/>
  <c r="D293" i="59" s="1"/>
  <c r="G298" i="59"/>
  <c r="E298" i="59" s="1"/>
  <c r="D298" i="59" s="1"/>
  <c r="Q38" i="56"/>
  <c r="Q43" i="56"/>
  <c r="Q94" i="56"/>
  <c r="Q139" i="56"/>
  <c r="Q144" i="56"/>
  <c r="H180" i="56"/>
  <c r="Q186" i="56"/>
  <c r="Y191" i="56"/>
  <c r="Y192" i="56"/>
  <c r="Q238" i="56"/>
  <c r="Q250" i="56"/>
  <c r="F252" i="56" s="1"/>
  <c r="E252" i="56" s="1"/>
  <c r="D252" i="56" s="1"/>
  <c r="G103" i="57"/>
  <c r="G68" i="57"/>
  <c r="G69" i="57" s="1"/>
  <c r="G72" i="57" s="1"/>
  <c r="E67" i="57"/>
  <c r="D67" i="57" s="1"/>
  <c r="G93" i="57"/>
  <c r="G95" i="57" s="1"/>
  <c r="E95" i="57" s="1"/>
  <c r="E84" i="57"/>
  <c r="D84" i="57" s="1"/>
  <c r="G229" i="58"/>
  <c r="G152" i="59"/>
  <c r="E152" i="59" s="1"/>
  <c r="Q29" i="57"/>
  <c r="F31" i="57" s="1"/>
  <c r="E31" i="57" s="1"/>
  <c r="D31" i="57" s="1"/>
  <c r="E33" i="57"/>
  <c r="D33" i="57" s="1"/>
  <c r="Q33" i="57"/>
  <c r="Q35" i="57" s="1"/>
  <c r="F35" i="57" s="1"/>
  <c r="E35" i="57" s="1"/>
  <c r="D35" i="57" s="1"/>
  <c r="Q39" i="57"/>
  <c r="E78" i="57"/>
  <c r="D78" i="57" s="1"/>
  <c r="Q89" i="57"/>
  <c r="Q94" i="57"/>
  <c r="Q96" i="57" s="1"/>
  <c r="F99" i="57" s="1"/>
  <c r="E99" i="57" s="1"/>
  <c r="D99" i="57" s="1"/>
  <c r="E142" i="57"/>
  <c r="D142" i="57" s="1"/>
  <c r="Q147" i="57"/>
  <c r="Q148" i="57"/>
  <c r="Q153" i="57"/>
  <c r="E177" i="57"/>
  <c r="D177" i="57" s="1"/>
  <c r="Q190" i="57"/>
  <c r="F192" i="57" s="1"/>
  <c r="E192" i="57" s="1"/>
  <c r="D192" i="57" s="1"/>
  <c r="Q194" i="57"/>
  <c r="E204" i="57"/>
  <c r="Q34" i="58"/>
  <c r="Q35" i="58" s="1"/>
  <c r="F35" i="58" s="1"/>
  <c r="E35" i="58" s="1"/>
  <c r="D35" i="58" s="1"/>
  <c r="I38" i="58"/>
  <c r="I39" i="58" s="1"/>
  <c r="E39" i="58" s="1"/>
  <c r="Q39" i="58"/>
  <c r="E46" i="58"/>
  <c r="E84" i="58"/>
  <c r="D84" i="58" s="1"/>
  <c r="Q89" i="58"/>
  <c r="Q90" i="58"/>
  <c r="Q136" i="58"/>
  <c r="Q137" i="58" s="1"/>
  <c r="F137" i="58" s="1"/>
  <c r="E137" i="58" s="1"/>
  <c r="D137" i="58" s="1"/>
  <c r="Y141" i="58"/>
  <c r="E148" i="58"/>
  <c r="E193" i="58"/>
  <c r="D193" i="58" s="1"/>
  <c r="Q198" i="58"/>
  <c r="Q199" i="58"/>
  <c r="Q204" i="58"/>
  <c r="E207" i="58"/>
  <c r="Q241" i="58"/>
  <c r="F243" i="58" s="1"/>
  <c r="E243" i="58" s="1"/>
  <c r="D243" i="58" s="1"/>
  <c r="I46" i="59"/>
  <c r="E46" i="59" s="1"/>
  <c r="I18" i="59"/>
  <c r="I19" i="59" s="1"/>
  <c r="G98" i="59"/>
  <c r="E98" i="59" s="1"/>
  <c r="E37" i="57"/>
  <c r="D37" i="57" s="1"/>
  <c r="Y90" i="57"/>
  <c r="G178" i="57"/>
  <c r="Q141" i="58"/>
  <c r="E288" i="59"/>
  <c r="D288" i="59" s="1"/>
  <c r="Q38" i="57"/>
  <c r="Q43" i="57"/>
  <c r="Q80" i="57"/>
  <c r="F82" i="57" s="1"/>
  <c r="E82" i="57" s="1"/>
  <c r="D82" i="57" s="1"/>
  <c r="Q84" i="57"/>
  <c r="Q90" i="57"/>
  <c r="Q152" i="57"/>
  <c r="G27" i="58"/>
  <c r="Q38" i="58"/>
  <c r="Q40" i="58" s="1"/>
  <c r="G129" i="58"/>
  <c r="E129" i="58" s="1"/>
  <c r="D129" i="58" s="1"/>
  <c r="E139" i="58"/>
  <c r="D139" i="58" s="1"/>
  <c r="Y140" i="58"/>
  <c r="Q146" i="58"/>
  <c r="Q147" i="58" s="1"/>
  <c r="F150" i="58" s="1"/>
  <c r="E150" i="58" s="1"/>
  <c r="D150" i="58" s="1"/>
  <c r="Q203" i="58"/>
  <c r="G45" i="59"/>
  <c r="E45" i="59" s="1"/>
  <c r="G317" i="59"/>
  <c r="E317" i="59" s="1"/>
  <c r="E314" i="59"/>
  <c r="Y39" i="59"/>
  <c r="Q87" i="59"/>
  <c r="Y92" i="59"/>
  <c r="Q141" i="59"/>
  <c r="Y146" i="59"/>
  <c r="Q199" i="59"/>
  <c r="Q204" i="59"/>
  <c r="E252" i="59"/>
  <c r="D252" i="59" s="1"/>
  <c r="Q257" i="59"/>
  <c r="Q258" i="59"/>
  <c r="Q263" i="59"/>
  <c r="Q300" i="59"/>
  <c r="F302" i="59" s="1"/>
  <c r="E302" i="59" s="1"/>
  <c r="D302" i="59" s="1"/>
  <c r="Q304" i="59"/>
  <c r="G122" i="60"/>
  <c r="G123" i="60" s="1"/>
  <c r="G124" i="60" s="1"/>
  <c r="E124" i="60" s="1"/>
  <c r="F127" i="60" s="1"/>
  <c r="E127" i="60" s="1"/>
  <c r="D127" i="60" s="1"/>
  <c r="G132" i="60"/>
  <c r="E132" i="60" s="1"/>
  <c r="D132" i="60" s="1"/>
  <c r="G27" i="60"/>
  <c r="E27" i="60" s="1"/>
  <c r="D27" i="60" s="1"/>
  <c r="E37" i="60"/>
  <c r="D37" i="60" s="1"/>
  <c r="Y38" i="60"/>
  <c r="Q44" i="60"/>
  <c r="E105" i="60"/>
  <c r="D105" i="60" s="1"/>
  <c r="Q96" i="60"/>
  <c r="F123" i="60"/>
  <c r="F126" i="60" s="1"/>
  <c r="Y38" i="59"/>
  <c r="E86" i="59"/>
  <c r="D86" i="59" s="1"/>
  <c r="E90" i="59"/>
  <c r="D90" i="59" s="1"/>
  <c r="Y91" i="59"/>
  <c r="E140" i="59"/>
  <c r="D140" i="59" s="1"/>
  <c r="E144" i="59"/>
  <c r="D144" i="59" s="1"/>
  <c r="Y145" i="59"/>
  <c r="E194" i="59"/>
  <c r="D194" i="59" s="1"/>
  <c r="Q200" i="59"/>
  <c r="F289" i="59"/>
  <c r="F292" i="59" s="1"/>
  <c r="E16" i="60"/>
  <c r="D16" i="60" s="1"/>
  <c r="G17" i="60"/>
  <c r="G18" i="60" s="1"/>
  <c r="G21" i="60" s="1"/>
  <c r="Q38" i="60"/>
  <c r="Q43" i="60"/>
  <c r="H79" i="60"/>
  <c r="Q85" i="60"/>
  <c r="Y90" i="60"/>
  <c r="Y91" i="60"/>
  <c r="Q139" i="60"/>
  <c r="Q151" i="60"/>
  <c r="F153" i="60" s="1"/>
  <c r="E153" i="60" s="1"/>
  <c r="D153" i="60" s="1"/>
  <c r="H27" i="59"/>
  <c r="Q33" i="59"/>
  <c r="Q38" i="59"/>
  <c r="Q43" i="59"/>
  <c r="Q45" i="59" s="1"/>
  <c r="F48" i="59" s="1"/>
  <c r="E48" i="59" s="1"/>
  <c r="D48" i="59" s="1"/>
  <c r="Q91" i="59"/>
  <c r="Q96" i="59"/>
  <c r="Q98" i="59" s="1"/>
  <c r="F101" i="59" s="1"/>
  <c r="E101" i="59" s="1"/>
  <c r="D101" i="59" s="1"/>
  <c r="Q145" i="59"/>
  <c r="Q150" i="59"/>
  <c r="E198" i="59"/>
  <c r="D198" i="59" s="1"/>
  <c r="Y199" i="59"/>
  <c r="Q205" i="59"/>
  <c r="H246" i="59"/>
  <c r="Q252" i="59"/>
  <c r="Y257" i="59"/>
  <c r="Y258" i="59"/>
  <c r="Q305" i="59"/>
  <c r="Q34" i="60"/>
  <c r="Y39" i="60"/>
  <c r="E43" i="60"/>
  <c r="E46" i="60"/>
  <c r="E85" i="60"/>
  <c r="D85" i="60" s="1"/>
  <c r="Q90" i="60"/>
  <c r="Q91" i="60"/>
  <c r="Q97" i="60"/>
  <c r="Q134" i="60"/>
  <c r="F136" i="60" s="1"/>
  <c r="E136" i="60" s="1"/>
  <c r="D136" i="60" s="1"/>
  <c r="E138" i="60"/>
  <c r="E147" i="60" s="1"/>
  <c r="Q138" i="60"/>
  <c r="E148" i="60"/>
  <c r="G44" i="60"/>
  <c r="E44" i="60" s="1"/>
  <c r="E42" i="60"/>
  <c r="F73" i="60"/>
  <c r="E50" i="60"/>
  <c r="D50" i="60" s="1"/>
  <c r="E90" i="60"/>
  <c r="D90" i="60" s="1"/>
  <c r="F21" i="60"/>
  <c r="I38" i="60"/>
  <c r="H52" i="60"/>
  <c r="E52" i="60" s="1"/>
  <c r="D52" i="60" s="1"/>
  <c r="G86" i="60"/>
  <c r="E86" i="60" s="1"/>
  <c r="D86" i="60" s="1"/>
  <c r="G95" i="60"/>
  <c r="I96" i="60"/>
  <c r="E96" i="60" s="1"/>
  <c r="I103" i="60"/>
  <c r="E103" i="60" s="1"/>
  <c r="D103" i="60" s="1"/>
  <c r="I143" i="60"/>
  <c r="I144" i="60" s="1"/>
  <c r="E144" i="60" s="1"/>
  <c r="N144" i="60"/>
  <c r="Q144" i="60" s="1"/>
  <c r="G147" i="60"/>
  <c r="G149" i="60" s="1"/>
  <c r="G152" i="60"/>
  <c r="E152" i="60" s="1"/>
  <c r="H17" i="60"/>
  <c r="G34" i="60"/>
  <c r="E34" i="60" s="1"/>
  <c r="D34" i="60" s="1"/>
  <c r="E68" i="60"/>
  <c r="D68" i="60" s="1"/>
  <c r="G69" i="60"/>
  <c r="G70" i="60" s="1"/>
  <c r="G79" i="60"/>
  <c r="H122" i="60"/>
  <c r="H123" i="60" s="1"/>
  <c r="H126" i="60" s="1"/>
  <c r="E142" i="60"/>
  <c r="D142" i="60" s="1"/>
  <c r="F21" i="59"/>
  <c r="E44" i="59"/>
  <c r="E42" i="59"/>
  <c r="F74" i="59"/>
  <c r="F128" i="59"/>
  <c r="F182" i="59"/>
  <c r="F240" i="59"/>
  <c r="G34" i="59"/>
  <c r="E34" i="59" s="1"/>
  <c r="D34" i="59" s="1"/>
  <c r="E103" i="59"/>
  <c r="D103" i="59" s="1"/>
  <c r="E157" i="59"/>
  <c r="E97" i="59"/>
  <c r="G105" i="59" s="1"/>
  <c r="E95" i="59"/>
  <c r="E151" i="59"/>
  <c r="E149" i="59"/>
  <c r="E203" i="59"/>
  <c r="E16" i="59"/>
  <c r="D16" i="59" s="1"/>
  <c r="G17" i="59"/>
  <c r="G18" i="59" s="1"/>
  <c r="G27" i="59"/>
  <c r="E33" i="59"/>
  <c r="D33" i="59" s="1"/>
  <c r="E153" i="59"/>
  <c r="E211" i="59"/>
  <c r="E207" i="59"/>
  <c r="E257" i="59"/>
  <c r="D257" i="59" s="1"/>
  <c r="G70" i="59"/>
  <c r="G80" i="59"/>
  <c r="E80" i="59" s="1"/>
  <c r="D80" i="59" s="1"/>
  <c r="I91" i="59"/>
  <c r="H107" i="59"/>
  <c r="E107" i="59" s="1"/>
  <c r="D107" i="59" s="1"/>
  <c r="E123" i="59"/>
  <c r="D123" i="59" s="1"/>
  <c r="G124" i="59"/>
  <c r="G125" i="59" s="1"/>
  <c r="G134" i="59"/>
  <c r="E134" i="59" s="1"/>
  <c r="D134" i="59" s="1"/>
  <c r="I145" i="59"/>
  <c r="H161" i="59"/>
  <c r="E161" i="59" s="1"/>
  <c r="D161" i="59" s="1"/>
  <c r="G178" i="59"/>
  <c r="G188" i="59"/>
  <c r="E188" i="59" s="1"/>
  <c r="D188" i="59" s="1"/>
  <c r="I199" i="59"/>
  <c r="H215" i="59"/>
  <c r="E215" i="59" s="1"/>
  <c r="D215" i="59" s="1"/>
  <c r="G253" i="59"/>
  <c r="E253" i="59" s="1"/>
  <c r="D253" i="59" s="1"/>
  <c r="G261" i="59"/>
  <c r="I262" i="59"/>
  <c r="E262" i="59" s="1"/>
  <c r="I269" i="59"/>
  <c r="E269" i="59" s="1"/>
  <c r="D269" i="59" s="1"/>
  <c r="I309" i="59"/>
  <c r="I310" i="59" s="1"/>
  <c r="E310" i="59" s="1"/>
  <c r="N310" i="59"/>
  <c r="Q310" i="59" s="1"/>
  <c r="G313" i="59"/>
  <c r="G315" i="59" s="1"/>
  <c r="H70" i="59"/>
  <c r="H71" i="59" s="1"/>
  <c r="H74" i="59" s="1"/>
  <c r="I71" i="59"/>
  <c r="I72" i="59" s="1"/>
  <c r="G87" i="59"/>
  <c r="E87" i="59" s="1"/>
  <c r="D87" i="59" s="1"/>
  <c r="H124" i="59"/>
  <c r="H125" i="59" s="1"/>
  <c r="H128" i="59" s="1"/>
  <c r="I125" i="59"/>
  <c r="I126" i="59" s="1"/>
  <c r="G141" i="59"/>
  <c r="E141" i="59" s="1"/>
  <c r="D141" i="59" s="1"/>
  <c r="H178" i="59"/>
  <c r="H179" i="59" s="1"/>
  <c r="H182" i="59" s="1"/>
  <c r="I179" i="59"/>
  <c r="I180" i="59" s="1"/>
  <c r="G195" i="59"/>
  <c r="E195" i="59" s="1"/>
  <c r="D195" i="59" s="1"/>
  <c r="E235" i="59"/>
  <c r="D235" i="59" s="1"/>
  <c r="G236" i="59"/>
  <c r="G237" i="59" s="1"/>
  <c r="G246" i="59"/>
  <c r="H288" i="59"/>
  <c r="H289" i="59" s="1"/>
  <c r="H292" i="59" s="1"/>
  <c r="E308" i="59"/>
  <c r="D308" i="59" s="1"/>
  <c r="H27" i="58"/>
  <c r="H17" i="58"/>
  <c r="G50" i="58"/>
  <c r="E50" i="58" s="1"/>
  <c r="D50" i="58" s="1"/>
  <c r="G78" i="58"/>
  <c r="E78" i="58" s="1"/>
  <c r="D78" i="58" s="1"/>
  <c r="G68" i="58"/>
  <c r="G69" i="58" s="1"/>
  <c r="E67" i="58"/>
  <c r="D67" i="58" s="1"/>
  <c r="G103" i="58"/>
  <c r="Q43" i="58"/>
  <c r="H52" i="58"/>
  <c r="E52" i="58" s="1"/>
  <c r="D52" i="58" s="1"/>
  <c r="E101" i="58"/>
  <c r="D101" i="58" s="1"/>
  <c r="E198" i="58"/>
  <c r="D198" i="58" s="1"/>
  <c r="F69" i="58"/>
  <c r="G146" i="58"/>
  <c r="F181" i="58"/>
  <c r="E152" i="58"/>
  <c r="D152" i="58" s="1"/>
  <c r="G85" i="58"/>
  <c r="E85" i="58" s="1"/>
  <c r="D85" i="58" s="1"/>
  <c r="G93" i="58"/>
  <c r="G96" i="58"/>
  <c r="E96" i="58" s="1"/>
  <c r="F123" i="58"/>
  <c r="I140" i="58"/>
  <c r="H154" i="58"/>
  <c r="E154" i="58" s="1"/>
  <c r="D154" i="58" s="1"/>
  <c r="G194" i="58"/>
  <c r="E194" i="58" s="1"/>
  <c r="D194" i="58" s="1"/>
  <c r="G202" i="58"/>
  <c r="I203" i="58"/>
  <c r="E203" i="58" s="1"/>
  <c r="I250" i="58"/>
  <c r="I251" i="58" s="1"/>
  <c r="E251" i="58" s="1"/>
  <c r="N251" i="58"/>
  <c r="Q251" i="58" s="1"/>
  <c r="G34" i="58"/>
  <c r="E34" i="58" s="1"/>
  <c r="D34" i="58" s="1"/>
  <c r="I89" i="58"/>
  <c r="I90" i="58" s="1"/>
  <c r="E90" i="58" s="1"/>
  <c r="I94" i="58"/>
  <c r="E94" i="58" s="1"/>
  <c r="H119" i="58"/>
  <c r="G136" i="58"/>
  <c r="E136" i="58" s="1"/>
  <c r="D136" i="58" s="1"/>
  <c r="E176" i="58"/>
  <c r="D176" i="58" s="1"/>
  <c r="G177" i="58"/>
  <c r="G178" i="58" s="1"/>
  <c r="G187" i="58"/>
  <c r="E187" i="58" s="1"/>
  <c r="D187" i="58" s="1"/>
  <c r="H229" i="58"/>
  <c r="H230" i="58" s="1"/>
  <c r="H233" i="58" s="1"/>
  <c r="E249" i="58"/>
  <c r="D249" i="58" s="1"/>
  <c r="G44" i="57"/>
  <c r="E44" i="57" s="1"/>
  <c r="D44" i="57" s="1"/>
  <c r="E42" i="57"/>
  <c r="E207" i="57"/>
  <c r="G208" i="57"/>
  <c r="E208" i="57" s="1"/>
  <c r="E50" i="57"/>
  <c r="D50" i="57" s="1"/>
  <c r="E101" i="57"/>
  <c r="D101" i="57" s="1"/>
  <c r="E97" i="57"/>
  <c r="F130" i="57"/>
  <c r="F21" i="57"/>
  <c r="I38" i="57"/>
  <c r="H52" i="57"/>
  <c r="F72" i="57"/>
  <c r="I89" i="57"/>
  <c r="H103" i="57"/>
  <c r="G143" i="57"/>
  <c r="E143" i="57" s="1"/>
  <c r="D143" i="57" s="1"/>
  <c r="G151" i="57"/>
  <c r="I152" i="57"/>
  <c r="E152" i="57" s="1"/>
  <c r="I159" i="57"/>
  <c r="E159" i="57" s="1"/>
  <c r="D159" i="57" s="1"/>
  <c r="I199" i="57"/>
  <c r="I200" i="57" s="1"/>
  <c r="E200" i="57" s="1"/>
  <c r="N200" i="57"/>
  <c r="Q200" i="57" s="1"/>
  <c r="G203" i="57"/>
  <c r="G205" i="57" s="1"/>
  <c r="H17" i="57"/>
  <c r="G34" i="57"/>
  <c r="E34" i="57" s="1"/>
  <c r="D34" i="57" s="1"/>
  <c r="H68" i="57"/>
  <c r="I69" i="57"/>
  <c r="I70" i="57" s="1"/>
  <c r="G85" i="57"/>
  <c r="E85" i="57" s="1"/>
  <c r="D85" i="57" s="1"/>
  <c r="E125" i="57"/>
  <c r="D125" i="57" s="1"/>
  <c r="G126" i="57"/>
  <c r="G127" i="57" s="1"/>
  <c r="G136" i="57"/>
  <c r="H178" i="57"/>
  <c r="H179" i="57" s="1"/>
  <c r="H182" i="57" s="1"/>
  <c r="E198" i="57"/>
  <c r="D198" i="57" s="1"/>
  <c r="F71" i="56"/>
  <c r="G145" i="56"/>
  <c r="E143" i="56"/>
  <c r="F174" i="56"/>
  <c r="E49" i="56"/>
  <c r="D49" i="56" s="1"/>
  <c r="E100" i="56"/>
  <c r="D100" i="56" s="1"/>
  <c r="E151" i="56"/>
  <c r="D151" i="56" s="1"/>
  <c r="F20" i="56"/>
  <c r="G43" i="56"/>
  <c r="E43" i="56" s="1"/>
  <c r="E41" i="56"/>
  <c r="G94" i="56"/>
  <c r="E94" i="56" s="1"/>
  <c r="D94" i="56" s="1"/>
  <c r="E92" i="56"/>
  <c r="E191" i="56"/>
  <c r="D191" i="56" s="1"/>
  <c r="G16" i="56"/>
  <c r="G26" i="56"/>
  <c r="E26" i="56" s="1"/>
  <c r="D26" i="56" s="1"/>
  <c r="I37" i="56"/>
  <c r="H51" i="56"/>
  <c r="E51" i="56" s="1"/>
  <c r="D51" i="56" s="1"/>
  <c r="H67" i="56"/>
  <c r="H68" i="56" s="1"/>
  <c r="H71" i="56" s="1"/>
  <c r="H77" i="56"/>
  <c r="E77" i="56" s="1"/>
  <c r="D77" i="56" s="1"/>
  <c r="G84" i="56"/>
  <c r="E84" i="56" s="1"/>
  <c r="D84" i="56" s="1"/>
  <c r="G102" i="56"/>
  <c r="E102" i="56" s="1"/>
  <c r="D102" i="56" s="1"/>
  <c r="F122" i="56"/>
  <c r="G128" i="56"/>
  <c r="E128" i="56" s="1"/>
  <c r="D128" i="56" s="1"/>
  <c r="I139" i="56"/>
  <c r="H153" i="56"/>
  <c r="E153" i="56" s="1"/>
  <c r="D153" i="56" s="1"/>
  <c r="G187" i="56"/>
  <c r="E187" i="56" s="1"/>
  <c r="D187" i="56" s="1"/>
  <c r="G195" i="56"/>
  <c r="I196" i="56"/>
  <c r="E196" i="56" s="1"/>
  <c r="I203" i="56"/>
  <c r="E203" i="56" s="1"/>
  <c r="D203" i="56" s="1"/>
  <c r="I242" i="56"/>
  <c r="I243" i="56" s="1"/>
  <c r="E243" i="56" s="1"/>
  <c r="N243" i="56"/>
  <c r="Q243" i="56" s="1"/>
  <c r="G246" i="56"/>
  <c r="G248" i="56" s="1"/>
  <c r="G251" i="56"/>
  <c r="E251" i="56" s="1"/>
  <c r="H16" i="56"/>
  <c r="H17" i="56" s="1"/>
  <c r="H20" i="56" s="1"/>
  <c r="G33" i="56"/>
  <c r="E33" i="56" s="1"/>
  <c r="D33" i="56" s="1"/>
  <c r="G67" i="56"/>
  <c r="I88" i="56"/>
  <c r="I93" i="56"/>
  <c r="E93" i="56" s="1"/>
  <c r="H118" i="56"/>
  <c r="G135" i="56"/>
  <c r="E135" i="56" s="1"/>
  <c r="D135" i="56" s="1"/>
  <c r="E169" i="56"/>
  <c r="D169" i="56" s="1"/>
  <c r="G170" i="56"/>
  <c r="G171" i="56" s="1"/>
  <c r="G180" i="56"/>
  <c r="H221" i="56"/>
  <c r="H222" i="56" s="1"/>
  <c r="H225" i="56" s="1"/>
  <c r="E241" i="56"/>
  <c r="D241" i="56" s="1"/>
  <c r="D143" i="56" l="1"/>
  <c r="D42" i="57"/>
  <c r="G259" i="58"/>
  <c r="E259" i="58" s="1"/>
  <c r="G159" i="59"/>
  <c r="E159" i="59" s="1"/>
  <c r="D157" i="59" s="1"/>
  <c r="G52" i="59"/>
  <c r="E52" i="59" s="1"/>
  <c r="D50" i="59" s="1"/>
  <c r="Q88" i="59"/>
  <c r="F88" i="59" s="1"/>
  <c r="E88" i="59" s="1"/>
  <c r="D88" i="59" s="1"/>
  <c r="D41" i="56"/>
  <c r="Q45" i="57"/>
  <c r="F48" i="57" s="1"/>
  <c r="E48" i="57" s="1"/>
  <c r="D48" i="57" s="1"/>
  <c r="G224" i="56"/>
  <c r="E224" i="56" s="1"/>
  <c r="Q93" i="59"/>
  <c r="Q141" i="56"/>
  <c r="F141" i="56" s="1"/>
  <c r="E141" i="56" s="1"/>
  <c r="D141" i="56" s="1"/>
  <c r="Q34" i="56"/>
  <c r="F34" i="56" s="1"/>
  <c r="E34" i="56" s="1"/>
  <c r="D34" i="56" s="1"/>
  <c r="Q136" i="56"/>
  <c r="F136" i="56" s="1"/>
  <c r="E136" i="56" s="1"/>
  <c r="D136" i="56" s="1"/>
  <c r="D246" i="56"/>
  <c r="Q86" i="58"/>
  <c r="F86" i="58" s="1"/>
  <c r="E86" i="58" s="1"/>
  <c r="D86" i="58" s="1"/>
  <c r="Q86" i="57"/>
  <c r="F86" i="57" s="1"/>
  <c r="E86" i="57" s="1"/>
  <c r="D86" i="57" s="1"/>
  <c r="D254" i="58"/>
  <c r="Y90" i="56"/>
  <c r="Q201" i="57"/>
  <c r="F201" i="57" s="1"/>
  <c r="E201" i="57" s="1"/>
  <c r="D201" i="57" s="1"/>
  <c r="Q254" i="59"/>
  <c r="F254" i="59" s="1"/>
  <c r="E254" i="59" s="1"/>
  <c r="D254" i="59" s="1"/>
  <c r="Q146" i="56"/>
  <c r="F149" i="56" s="1"/>
  <c r="E149" i="56" s="1"/>
  <c r="D149" i="56" s="1"/>
  <c r="D138" i="60"/>
  <c r="Q142" i="58"/>
  <c r="E123" i="60"/>
  <c r="Q40" i="60"/>
  <c r="Q35" i="60"/>
  <c r="F35" i="60" s="1"/>
  <c r="E35" i="60" s="1"/>
  <c r="D35" i="60" s="1"/>
  <c r="D304" i="59"/>
  <c r="Q264" i="59"/>
  <c r="F267" i="59" s="1"/>
  <c r="E267" i="59" s="1"/>
  <c r="D267" i="59" s="1"/>
  <c r="Y142" i="58"/>
  <c r="Q87" i="60"/>
  <c r="F87" i="60" s="1"/>
  <c r="E87" i="60" s="1"/>
  <c r="D87" i="60" s="1"/>
  <c r="F883" i="43"/>
  <c r="F137" i="43"/>
  <c r="F893" i="43"/>
  <c r="F147" i="43"/>
  <c r="F457" i="43"/>
  <c r="F157" i="43"/>
  <c r="F335" i="43"/>
  <c r="F776" i="43"/>
  <c r="F88" i="43"/>
  <c r="F555" i="43"/>
  <c r="F330" i="43"/>
  <c r="F888" i="43"/>
  <c r="F462" i="43"/>
  <c r="F142" i="43"/>
  <c r="F423" i="43"/>
  <c r="F401" i="43"/>
  <c r="F747" i="43"/>
  <c r="F467" i="43"/>
  <c r="F325" i="43"/>
  <c r="F152" i="43"/>
  <c r="F748" i="43"/>
  <c r="F284" i="43"/>
  <c r="F749" i="43"/>
  <c r="F626" i="43"/>
  <c r="F621" i="43"/>
  <c r="F616" i="43"/>
  <c r="F631" i="43"/>
  <c r="F611" i="43"/>
  <c r="F121" i="43"/>
  <c r="U10" i="61"/>
  <c r="U45" i="61" s="1"/>
  <c r="T18" i="61"/>
  <c r="AF14" i="61"/>
  <c r="AF52" i="61"/>
  <c r="AF48" i="61"/>
  <c r="AF44" i="61"/>
  <c r="AF53" i="61"/>
  <c r="AF49" i="61"/>
  <c r="AF45" i="61"/>
  <c r="AF51" i="61"/>
  <c r="AF50" i="61"/>
  <c r="AF46" i="61"/>
  <c r="AF42" i="61"/>
  <c r="AF47" i="61"/>
  <c r="AF43" i="61"/>
  <c r="AF41" i="61"/>
  <c r="N14" i="61"/>
  <c r="N50" i="61"/>
  <c r="N46" i="61"/>
  <c r="N42" i="61"/>
  <c r="N51" i="61"/>
  <c r="N47" i="61"/>
  <c r="N43" i="61"/>
  <c r="N41" i="61"/>
  <c r="N53" i="61"/>
  <c r="N49" i="61"/>
  <c r="N52" i="61"/>
  <c r="N48" i="61"/>
  <c r="N44" i="61"/>
  <c r="N45" i="61"/>
  <c r="U53" i="61"/>
  <c r="U49" i="61"/>
  <c r="U50" i="61"/>
  <c r="U52" i="61"/>
  <c r="U51" i="61"/>
  <c r="U48" i="61"/>
  <c r="T14" i="61"/>
  <c r="T52" i="61"/>
  <c r="T48" i="61"/>
  <c r="T44" i="61"/>
  <c r="T53" i="61"/>
  <c r="T49" i="61"/>
  <c r="T45" i="61"/>
  <c r="T51" i="61"/>
  <c r="T50" i="61"/>
  <c r="T46" i="61"/>
  <c r="T42" i="61"/>
  <c r="T47" i="61"/>
  <c r="T43" i="61"/>
  <c r="T41" i="61"/>
  <c r="Z14" i="61"/>
  <c r="Z50" i="61"/>
  <c r="Z46" i="61"/>
  <c r="Z42" i="61"/>
  <c r="Z51" i="61"/>
  <c r="Z47" i="61"/>
  <c r="Z43" i="61"/>
  <c r="Z41" i="61"/>
  <c r="Z53" i="61"/>
  <c r="Z49" i="61"/>
  <c r="Z52" i="61"/>
  <c r="Z48" i="61"/>
  <c r="Z44" i="61"/>
  <c r="Z45" i="61"/>
  <c r="T38" i="61"/>
  <c r="T15" i="61"/>
  <c r="T25" i="61"/>
  <c r="T27" i="61"/>
  <c r="T31" i="61"/>
  <c r="T39" i="61"/>
  <c r="T16" i="61"/>
  <c r="T22" i="61"/>
  <c r="T28" i="61"/>
  <c r="T32" i="61"/>
  <c r="T40" i="61"/>
  <c r="T19" i="61"/>
  <c r="T17" i="61"/>
  <c r="T23" i="61"/>
  <c r="T29" i="61"/>
  <c r="T33" i="61"/>
  <c r="T34" i="61"/>
  <c r="T37" i="61"/>
  <c r="Y55" i="61"/>
  <c r="Y12" i="61" s="1"/>
  <c r="S55" i="61"/>
  <c r="S12" i="61" s="1"/>
  <c r="M55" i="61"/>
  <c r="M12" i="61" s="1"/>
  <c r="AE55" i="61"/>
  <c r="AE12" i="61" s="1"/>
  <c r="N39" i="61"/>
  <c r="N37" i="61"/>
  <c r="N38" i="61"/>
  <c r="N29" i="61"/>
  <c r="N27" i="61"/>
  <c r="N25" i="61"/>
  <c r="N23" i="61"/>
  <c r="N20" i="61"/>
  <c r="N35" i="61"/>
  <c r="N34" i="61"/>
  <c r="N33" i="61"/>
  <c r="N32" i="61"/>
  <c r="N31" i="61"/>
  <c r="N40" i="61"/>
  <c r="N28" i="61"/>
  <c r="N16" i="61"/>
  <c r="N22" i="61"/>
  <c r="N19" i="61"/>
  <c r="N15" i="61"/>
  <c r="O10" i="61"/>
  <c r="N18" i="61"/>
  <c r="N24" i="61"/>
  <c r="N17" i="61"/>
  <c r="Z35" i="61"/>
  <c r="Z34" i="61"/>
  <c r="Z33" i="61"/>
  <c r="Z32" i="61"/>
  <c r="Z31" i="61"/>
  <c r="Z39" i="61"/>
  <c r="Z37" i="61"/>
  <c r="Z38" i="61"/>
  <c r="Z28" i="61"/>
  <c r="Z24" i="61"/>
  <c r="Z22" i="61"/>
  <c r="Z20" i="61"/>
  <c r="AA10" i="61"/>
  <c r="Z40" i="61"/>
  <c r="Z29" i="61"/>
  <c r="Z27" i="61"/>
  <c r="Z25" i="61"/>
  <c r="Z23" i="61"/>
  <c r="Z19" i="61"/>
  <c r="Z15" i="61"/>
  <c r="Z18" i="61"/>
  <c r="Z17" i="61"/>
  <c r="Z16" i="61"/>
  <c r="U40" i="61"/>
  <c r="U35" i="61"/>
  <c r="U20" i="61"/>
  <c r="AF40" i="61"/>
  <c r="AF39" i="61"/>
  <c r="AF38" i="61"/>
  <c r="AF37" i="61"/>
  <c r="AF35" i="61"/>
  <c r="AF34" i="61"/>
  <c r="AF33" i="61"/>
  <c r="AF32" i="61"/>
  <c r="AF31" i="61"/>
  <c r="AF29" i="61"/>
  <c r="AF28" i="61"/>
  <c r="AF27" i="61"/>
  <c r="AF25" i="61"/>
  <c r="AF24" i="61"/>
  <c r="AF23" i="61"/>
  <c r="AF22" i="61"/>
  <c r="AF20" i="61"/>
  <c r="AG10" i="61"/>
  <c r="AF18" i="61"/>
  <c r="AF17" i="61"/>
  <c r="AF16" i="61"/>
  <c r="AF15" i="61"/>
  <c r="AF19" i="61"/>
  <c r="Q196" i="59"/>
  <c r="F196" i="59" s="1"/>
  <c r="E196" i="59" s="1"/>
  <c r="D196" i="59" s="1"/>
  <c r="E93" i="57"/>
  <c r="D93" i="57" s="1"/>
  <c r="Y91" i="57"/>
  <c r="Q252" i="58"/>
  <c r="F252" i="58" s="1"/>
  <c r="E252" i="58" s="1"/>
  <c r="D252" i="58" s="1"/>
  <c r="E256" i="58"/>
  <c r="D256" i="58" s="1"/>
  <c r="Q205" i="58"/>
  <c r="F208" i="58" s="1"/>
  <c r="E208" i="58" s="1"/>
  <c r="D208" i="58" s="1"/>
  <c r="D194" i="57"/>
  <c r="Q154" i="57"/>
  <c r="F157" i="57" s="1"/>
  <c r="E157" i="57" s="1"/>
  <c r="D157" i="57" s="1"/>
  <c r="E195" i="57"/>
  <c r="D195" i="57" s="1"/>
  <c r="Q196" i="57"/>
  <c r="F196" i="57" s="1"/>
  <c r="E196" i="57" s="1"/>
  <c r="D196" i="57" s="1"/>
  <c r="E27" i="58"/>
  <c r="D27" i="58" s="1"/>
  <c r="E250" i="58"/>
  <c r="D250" i="58" s="1"/>
  <c r="Q45" i="58"/>
  <c r="F48" i="58" s="1"/>
  <c r="E48" i="58" s="1"/>
  <c r="D48" i="58" s="1"/>
  <c r="F40" i="58"/>
  <c r="E40" i="58" s="1"/>
  <c r="D40" i="58" s="1"/>
  <c r="Y200" i="58"/>
  <c r="D44" i="58"/>
  <c r="Q96" i="58"/>
  <c r="F99" i="58" s="1"/>
  <c r="E99" i="58" s="1"/>
  <c r="D99" i="58" s="1"/>
  <c r="Q152" i="59"/>
  <c r="F155" i="59" s="1"/>
  <c r="E155" i="59" s="1"/>
  <c r="D155" i="59" s="1"/>
  <c r="Y93" i="60"/>
  <c r="Q45" i="60"/>
  <c r="F48" i="60" s="1"/>
  <c r="E48" i="60" s="1"/>
  <c r="D48" i="60" s="1"/>
  <c r="G125" i="60"/>
  <c r="E125" i="60" s="1"/>
  <c r="Q145" i="60"/>
  <c r="F145" i="60" s="1"/>
  <c r="E145" i="60" s="1"/>
  <c r="D145" i="60" s="1"/>
  <c r="G126" i="60"/>
  <c r="E126" i="60" s="1"/>
  <c r="D126" i="60" s="1"/>
  <c r="D42" i="60"/>
  <c r="D147" i="60"/>
  <c r="Q93" i="60"/>
  <c r="E246" i="59"/>
  <c r="D246" i="59" s="1"/>
  <c r="G292" i="59"/>
  <c r="E292" i="59" s="1"/>
  <c r="D292" i="59" s="1"/>
  <c r="Q40" i="59"/>
  <c r="Q306" i="59"/>
  <c r="F306" i="59" s="1"/>
  <c r="E306" i="59" s="1"/>
  <c r="D306" i="59" s="1"/>
  <c r="Q259" i="59"/>
  <c r="Q142" i="59"/>
  <c r="F142" i="59" s="1"/>
  <c r="E142" i="59" s="1"/>
  <c r="D142" i="59" s="1"/>
  <c r="Q311" i="59"/>
  <c r="F311" i="59" s="1"/>
  <c r="E311" i="59" s="1"/>
  <c r="D311" i="59" s="1"/>
  <c r="E27" i="59"/>
  <c r="D27" i="59" s="1"/>
  <c r="Y201" i="59"/>
  <c r="Q35" i="59"/>
  <c r="F35" i="59" s="1"/>
  <c r="E35" i="59" s="1"/>
  <c r="D35" i="59" s="1"/>
  <c r="D203" i="59"/>
  <c r="E237" i="59"/>
  <c r="G318" i="59"/>
  <c r="E318" i="59" s="1"/>
  <c r="D97" i="59"/>
  <c r="Y93" i="59"/>
  <c r="F93" i="59" s="1"/>
  <c r="E93" i="59" s="1"/>
  <c r="D93" i="59" s="1"/>
  <c r="E38" i="59"/>
  <c r="D38" i="59" s="1"/>
  <c r="E289" i="59"/>
  <c r="D289" i="59" s="1"/>
  <c r="F294" i="59" s="1"/>
  <c r="E294" i="59" s="1"/>
  <c r="D294" i="59" s="1"/>
  <c r="D42" i="59"/>
  <c r="Y147" i="59"/>
  <c r="Y40" i="59"/>
  <c r="D149" i="59"/>
  <c r="Q147" i="59"/>
  <c r="E42" i="58"/>
  <c r="D42" i="58" s="1"/>
  <c r="Q91" i="58"/>
  <c r="D245" i="58"/>
  <c r="Y91" i="58"/>
  <c r="Y149" i="57"/>
  <c r="E52" i="57"/>
  <c r="D52" i="57" s="1"/>
  <c r="E103" i="57"/>
  <c r="D103" i="57" s="1"/>
  <c r="Q91" i="57"/>
  <c r="F91" i="57" s="1"/>
  <c r="E91" i="57" s="1"/>
  <c r="D91" i="57" s="1"/>
  <c r="D203" i="57"/>
  <c r="Q239" i="56"/>
  <c r="F239" i="56" s="1"/>
  <c r="E239" i="56" s="1"/>
  <c r="D239" i="56" s="1"/>
  <c r="E171" i="56"/>
  <c r="D43" i="56"/>
  <c r="Y193" i="56"/>
  <c r="G225" i="56"/>
  <c r="E225" i="56" s="1"/>
  <c r="D225" i="56" s="1"/>
  <c r="E145" i="56"/>
  <c r="D145" i="56" s="1"/>
  <c r="D237" i="56"/>
  <c r="E222" i="56"/>
  <c r="D222" i="56" s="1"/>
  <c r="F227" i="56" s="1"/>
  <c r="E227" i="56" s="1"/>
  <c r="D227" i="56" s="1"/>
  <c r="Y39" i="56"/>
  <c r="Q193" i="56"/>
  <c r="E180" i="56"/>
  <c r="D180" i="56" s="1"/>
  <c r="Q244" i="56"/>
  <c r="F244" i="56" s="1"/>
  <c r="E244" i="56" s="1"/>
  <c r="D244" i="56" s="1"/>
  <c r="Q198" i="56"/>
  <c r="F201" i="56" s="1"/>
  <c r="E201" i="56" s="1"/>
  <c r="D201" i="56" s="1"/>
  <c r="Q85" i="56"/>
  <c r="F85" i="56" s="1"/>
  <c r="E85" i="56" s="1"/>
  <c r="D85" i="56" s="1"/>
  <c r="Q188" i="56"/>
  <c r="F188" i="56" s="1"/>
  <c r="E188" i="56" s="1"/>
  <c r="D188" i="56" s="1"/>
  <c r="G179" i="57"/>
  <c r="E178" i="57"/>
  <c r="D178" i="57" s="1"/>
  <c r="E144" i="58"/>
  <c r="D144" i="58" s="1"/>
  <c r="D44" i="60"/>
  <c r="Y259" i="59"/>
  <c r="Y40" i="60"/>
  <c r="G230" i="58"/>
  <c r="E229" i="58"/>
  <c r="D229" i="58" s="1"/>
  <c r="Q90" i="56"/>
  <c r="F90" i="56" s="1"/>
  <c r="E90" i="56" s="1"/>
  <c r="D90" i="56" s="1"/>
  <c r="E146" i="58"/>
  <c r="D146" i="58" s="1"/>
  <c r="D95" i="59"/>
  <c r="Q98" i="60"/>
  <c r="F101" i="60" s="1"/>
  <c r="E101" i="60" s="1"/>
  <c r="D101" i="60" s="1"/>
  <c r="Q206" i="59"/>
  <c r="F209" i="59" s="1"/>
  <c r="E209" i="59" s="1"/>
  <c r="D209" i="59" s="1"/>
  <c r="E38" i="58"/>
  <c r="D38" i="58" s="1"/>
  <c r="Q44" i="56"/>
  <c r="F47" i="56" s="1"/>
  <c r="E47" i="56" s="1"/>
  <c r="D47" i="56" s="1"/>
  <c r="E103" i="58"/>
  <c r="D103" i="58" s="1"/>
  <c r="E136" i="57"/>
  <c r="D136" i="57" s="1"/>
  <c r="E68" i="58"/>
  <c r="D68" i="58" s="1"/>
  <c r="E205" i="59"/>
  <c r="E79" i="60"/>
  <c r="D79" i="60" s="1"/>
  <c r="Q140" i="60"/>
  <c r="F140" i="60" s="1"/>
  <c r="E140" i="60" s="1"/>
  <c r="D140" i="60" s="1"/>
  <c r="Q201" i="59"/>
  <c r="F201" i="59" s="1"/>
  <c r="E201" i="59" s="1"/>
  <c r="D201" i="59" s="1"/>
  <c r="Q40" i="57"/>
  <c r="F40" i="57" s="1"/>
  <c r="E40" i="57" s="1"/>
  <c r="D40" i="57" s="1"/>
  <c r="E122" i="60"/>
  <c r="D122" i="60" s="1"/>
  <c r="Q200" i="58"/>
  <c r="Q149" i="57"/>
  <c r="D313" i="59"/>
  <c r="Q95" i="56"/>
  <c r="F98" i="56" s="1"/>
  <c r="E98" i="56" s="1"/>
  <c r="D98" i="56" s="1"/>
  <c r="Q39" i="56"/>
  <c r="E221" i="56"/>
  <c r="D221" i="56" s="1"/>
  <c r="G73" i="60"/>
  <c r="E73" i="60" s="1"/>
  <c r="D73" i="60" s="1"/>
  <c r="G71" i="60"/>
  <c r="E71" i="60" s="1"/>
  <c r="F74" i="60" s="1"/>
  <c r="E74" i="60" s="1"/>
  <c r="D74" i="60" s="1"/>
  <c r="E95" i="60"/>
  <c r="D95" i="60" s="1"/>
  <c r="G97" i="60"/>
  <c r="E97" i="60" s="1"/>
  <c r="D97" i="60" s="1"/>
  <c r="E70" i="60"/>
  <c r="H18" i="60"/>
  <c r="E17" i="60"/>
  <c r="D17" i="60" s="1"/>
  <c r="G155" i="60"/>
  <c r="E149" i="60"/>
  <c r="D149" i="60" s="1"/>
  <c r="I39" i="60"/>
  <c r="E39" i="60" s="1"/>
  <c r="E38" i="60"/>
  <c r="E69" i="60"/>
  <c r="D69" i="60" s="1"/>
  <c r="E143" i="60"/>
  <c r="D143" i="60" s="1"/>
  <c r="G321" i="59"/>
  <c r="E321" i="59" s="1"/>
  <c r="E315" i="59"/>
  <c r="G323" i="59" s="1"/>
  <c r="E323" i="59" s="1"/>
  <c r="I200" i="59"/>
  <c r="E200" i="59" s="1"/>
  <c r="E199" i="59"/>
  <c r="G179" i="59"/>
  <c r="E178" i="59"/>
  <c r="D178" i="59" s="1"/>
  <c r="I146" i="59"/>
  <c r="E146" i="59" s="1"/>
  <c r="E145" i="59"/>
  <c r="G128" i="59"/>
  <c r="E128" i="59" s="1"/>
  <c r="D128" i="59" s="1"/>
  <c r="G126" i="59"/>
  <c r="E126" i="59" s="1"/>
  <c r="F129" i="59" s="1"/>
  <c r="E129" i="59" s="1"/>
  <c r="D129" i="59" s="1"/>
  <c r="I92" i="59"/>
  <c r="E92" i="59" s="1"/>
  <c r="E91" i="59"/>
  <c r="G71" i="59"/>
  <c r="E70" i="59"/>
  <c r="D70" i="59" s="1"/>
  <c r="G21" i="59"/>
  <c r="G19" i="59"/>
  <c r="E19" i="59" s="1"/>
  <c r="F22" i="59" s="1"/>
  <c r="E22" i="59" s="1"/>
  <c r="D22" i="59" s="1"/>
  <c r="E236" i="59"/>
  <c r="D236" i="59" s="1"/>
  <c r="D151" i="59"/>
  <c r="E21" i="59"/>
  <c r="D21" i="59" s="1"/>
  <c r="G240" i="59"/>
  <c r="E240" i="59" s="1"/>
  <c r="D240" i="59" s="1"/>
  <c r="G238" i="59"/>
  <c r="E238" i="59" s="1"/>
  <c r="F241" i="59" s="1"/>
  <c r="E241" i="59" s="1"/>
  <c r="D241" i="59" s="1"/>
  <c r="E261" i="59"/>
  <c r="D261" i="59" s="1"/>
  <c r="G263" i="59"/>
  <c r="E263" i="59" s="1"/>
  <c r="D263" i="59" s="1"/>
  <c r="E124" i="59"/>
  <c r="D124" i="59" s="1"/>
  <c r="E309" i="59"/>
  <c r="D309" i="59" s="1"/>
  <c r="E17" i="59"/>
  <c r="D17" i="59" s="1"/>
  <c r="E125" i="59"/>
  <c r="D44" i="59"/>
  <c r="E18" i="59"/>
  <c r="G181" i="58"/>
  <c r="E181" i="58" s="1"/>
  <c r="D181" i="58" s="1"/>
  <c r="G179" i="58"/>
  <c r="E179" i="58" s="1"/>
  <c r="F182" i="58" s="1"/>
  <c r="E182" i="58" s="1"/>
  <c r="D182" i="58" s="1"/>
  <c r="H120" i="58"/>
  <c r="E119" i="58"/>
  <c r="D119" i="58" s="1"/>
  <c r="E202" i="58"/>
  <c r="D202" i="58" s="1"/>
  <c r="G204" i="58"/>
  <c r="E204" i="58" s="1"/>
  <c r="D204" i="58" s="1"/>
  <c r="G95" i="58"/>
  <c r="E95" i="58" s="1"/>
  <c r="D95" i="58" s="1"/>
  <c r="E93" i="58"/>
  <c r="D93" i="58" s="1"/>
  <c r="F72" i="58"/>
  <c r="E69" i="58"/>
  <c r="G264" i="58"/>
  <c r="E264" i="58" s="1"/>
  <c r="D264" i="58" s="1"/>
  <c r="E262" i="58"/>
  <c r="D262" i="58" s="1"/>
  <c r="E177" i="58"/>
  <c r="D177" i="58" s="1"/>
  <c r="E89" i="58"/>
  <c r="D89" i="58" s="1"/>
  <c r="I141" i="58"/>
  <c r="E141" i="58" s="1"/>
  <c r="E140" i="58"/>
  <c r="G72" i="58"/>
  <c r="G70" i="58"/>
  <c r="E70" i="58" s="1"/>
  <c r="F73" i="58" s="1"/>
  <c r="E73" i="58" s="1"/>
  <c r="D73" i="58" s="1"/>
  <c r="E17" i="58"/>
  <c r="D17" i="58" s="1"/>
  <c r="H18" i="58"/>
  <c r="E178" i="58"/>
  <c r="G130" i="57"/>
  <c r="G128" i="57"/>
  <c r="E128" i="57" s="1"/>
  <c r="F131" i="57" s="1"/>
  <c r="E131" i="57" s="1"/>
  <c r="D131" i="57" s="1"/>
  <c r="H69" i="57"/>
  <c r="E68" i="57"/>
  <c r="D68" i="57" s="1"/>
  <c r="E151" i="57"/>
  <c r="D151" i="57" s="1"/>
  <c r="G153" i="57"/>
  <c r="E153" i="57" s="1"/>
  <c r="D153" i="57" s="1"/>
  <c r="I39" i="57"/>
  <c r="E39" i="57" s="1"/>
  <c r="E38" i="57"/>
  <c r="E130" i="57"/>
  <c r="D130" i="57" s="1"/>
  <c r="D95" i="57"/>
  <c r="H18" i="57"/>
  <c r="E17" i="57"/>
  <c r="D17" i="57" s="1"/>
  <c r="G211" i="57"/>
  <c r="E205" i="57"/>
  <c r="D205" i="57" s="1"/>
  <c r="I90" i="57"/>
  <c r="E90" i="57" s="1"/>
  <c r="E89" i="57"/>
  <c r="E126" i="57"/>
  <c r="D126" i="57" s="1"/>
  <c r="E127" i="57"/>
  <c r="D127" i="57" s="1"/>
  <c r="F132" i="57" s="1"/>
  <c r="E132" i="57" s="1"/>
  <c r="D132" i="57" s="1"/>
  <c r="E199" i="57"/>
  <c r="D199" i="57" s="1"/>
  <c r="H119" i="56"/>
  <c r="E118" i="56"/>
  <c r="D118" i="56" s="1"/>
  <c r="E88" i="56"/>
  <c r="I89" i="56"/>
  <c r="E89" i="56" s="1"/>
  <c r="G254" i="56"/>
  <c r="E248" i="56"/>
  <c r="D248" i="56" s="1"/>
  <c r="I140" i="56"/>
  <c r="E140" i="56" s="1"/>
  <c r="E139" i="56"/>
  <c r="E170" i="56"/>
  <c r="D170" i="56" s="1"/>
  <c r="E242" i="56"/>
  <c r="D242" i="56" s="1"/>
  <c r="D92" i="56"/>
  <c r="G174" i="56"/>
  <c r="E174" i="56" s="1"/>
  <c r="D174" i="56" s="1"/>
  <c r="G172" i="56"/>
  <c r="E172" i="56" s="1"/>
  <c r="F175" i="56" s="1"/>
  <c r="E175" i="56" s="1"/>
  <c r="D175" i="56" s="1"/>
  <c r="E67" i="56"/>
  <c r="D67" i="56" s="1"/>
  <c r="G68" i="56"/>
  <c r="E195" i="56"/>
  <c r="D195" i="56" s="1"/>
  <c r="G197" i="56"/>
  <c r="E197" i="56" s="1"/>
  <c r="D197" i="56" s="1"/>
  <c r="I38" i="56"/>
  <c r="E38" i="56" s="1"/>
  <c r="E37" i="56"/>
  <c r="G17" i="56"/>
  <c r="E16" i="56"/>
  <c r="D16" i="56" s="1"/>
  <c r="G322" i="59" l="1"/>
  <c r="E322" i="59" s="1"/>
  <c r="D321" i="59" s="1"/>
  <c r="D205" i="59"/>
  <c r="G213" i="59"/>
  <c r="E213" i="59" s="1"/>
  <c r="D211" i="59" s="1"/>
  <c r="F142" i="58"/>
  <c r="E142" i="58" s="1"/>
  <c r="D142" i="58" s="1"/>
  <c r="D123" i="60"/>
  <c r="F128" i="60" s="1"/>
  <c r="E128" i="60" s="1"/>
  <c r="D128" i="60" s="1"/>
  <c r="U15" i="61"/>
  <c r="F40" i="59"/>
  <c r="E40" i="59" s="1"/>
  <c r="D40" i="59" s="1"/>
  <c r="F40" i="60"/>
  <c r="E40" i="60" s="1"/>
  <c r="D40" i="60" s="1"/>
  <c r="U31" i="61"/>
  <c r="F138" i="43"/>
  <c r="F884" i="43"/>
  <c r="F158" i="43"/>
  <c r="F458" i="43"/>
  <c r="F148" i="43"/>
  <c r="F894" i="43"/>
  <c r="F889" i="43"/>
  <c r="F336" i="43"/>
  <c r="F463" i="43"/>
  <c r="F331" i="43"/>
  <c r="F143" i="43"/>
  <c r="U16" i="61"/>
  <c r="U32" i="61"/>
  <c r="U25" i="61"/>
  <c r="U27" i="61"/>
  <c r="U22" i="61"/>
  <c r="U37" i="61"/>
  <c r="U19" i="61"/>
  <c r="U29" i="61"/>
  <c r="U17" i="61"/>
  <c r="U24" i="61"/>
  <c r="U33" i="61"/>
  <c r="U38" i="61"/>
  <c r="U43" i="61"/>
  <c r="U23" i="61"/>
  <c r="V10" i="61"/>
  <c r="V42" i="61" s="1"/>
  <c r="U18" i="61"/>
  <c r="U28" i="61"/>
  <c r="U34" i="61"/>
  <c r="U39" i="61"/>
  <c r="F468" i="43"/>
  <c r="F326" i="43"/>
  <c r="F153" i="43"/>
  <c r="F632" i="43"/>
  <c r="F617" i="43"/>
  <c r="F612" i="43"/>
  <c r="F622" i="43"/>
  <c r="F627" i="43"/>
  <c r="U42" i="61"/>
  <c r="U47" i="61"/>
  <c r="U46" i="61"/>
  <c r="U14" i="61"/>
  <c r="U44" i="61"/>
  <c r="U41" i="61"/>
  <c r="V50" i="61"/>
  <c r="V46" i="61"/>
  <c r="V51" i="61"/>
  <c r="V53" i="61"/>
  <c r="V49" i="61"/>
  <c r="V52" i="61"/>
  <c r="V48" i="61"/>
  <c r="AG14" i="61"/>
  <c r="AG53" i="61"/>
  <c r="AG49" i="61"/>
  <c r="AG45" i="61"/>
  <c r="AG50" i="61"/>
  <c r="AG46" i="61"/>
  <c r="AG42" i="61"/>
  <c r="AG52" i="61"/>
  <c r="AG51" i="61"/>
  <c r="AG47" i="61"/>
  <c r="AG43" i="61"/>
  <c r="AG41" i="61"/>
  <c r="AG48" i="61"/>
  <c r="AG44" i="61"/>
  <c r="AA14" i="61"/>
  <c r="AA51" i="61"/>
  <c r="AA47" i="61"/>
  <c r="AA43" i="61"/>
  <c r="AA41" i="61"/>
  <c r="AA52" i="61"/>
  <c r="AA48" i="61"/>
  <c r="AA44" i="61"/>
  <c r="AA50" i="61"/>
  <c r="AA53" i="61"/>
  <c r="AA49" i="61"/>
  <c r="AA45" i="61"/>
  <c r="AA46" i="61"/>
  <c r="AA42" i="61"/>
  <c r="O14" i="61"/>
  <c r="O51" i="61"/>
  <c r="O47" i="61"/>
  <c r="O43" i="61"/>
  <c r="O41" i="61"/>
  <c r="O52" i="61"/>
  <c r="O48" i="61"/>
  <c r="O44" i="61"/>
  <c r="O50" i="61"/>
  <c r="O53" i="61"/>
  <c r="O49" i="61"/>
  <c r="O45" i="61"/>
  <c r="O46" i="61"/>
  <c r="O42" i="61"/>
  <c r="T55" i="61"/>
  <c r="T12" i="61" s="1"/>
  <c r="Z55" i="61"/>
  <c r="Z12" i="61" s="1"/>
  <c r="O40" i="61"/>
  <c r="O38" i="61"/>
  <c r="O35" i="61"/>
  <c r="O34" i="61"/>
  <c r="O33" i="61"/>
  <c r="O32" i="61"/>
  <c r="O31" i="61"/>
  <c r="O29" i="61"/>
  <c r="O28" i="61"/>
  <c r="O27" i="61"/>
  <c r="O25" i="61"/>
  <c r="O24" i="61"/>
  <c r="O23" i="61"/>
  <c r="O22" i="61"/>
  <c r="O20" i="61"/>
  <c r="O19" i="61"/>
  <c r="O37" i="61"/>
  <c r="O39" i="61"/>
  <c r="O18" i="61"/>
  <c r="O17" i="61"/>
  <c r="O16" i="61"/>
  <c r="O15" i="61"/>
  <c r="P10" i="61"/>
  <c r="N55" i="61"/>
  <c r="N12" i="61" s="1"/>
  <c r="AF55" i="61"/>
  <c r="AF12" i="61" s="1"/>
  <c r="AG40" i="61"/>
  <c r="AG39" i="61"/>
  <c r="AG38" i="61"/>
  <c r="AG37" i="61"/>
  <c r="AG18" i="61"/>
  <c r="AG17" i="61"/>
  <c r="AG16" i="61"/>
  <c r="AG15" i="61"/>
  <c r="AG28" i="61"/>
  <c r="AG24" i="61"/>
  <c r="AG22" i="61"/>
  <c r="AG19" i="61"/>
  <c r="AG35" i="61"/>
  <c r="AG34" i="61"/>
  <c r="AG33" i="61"/>
  <c r="AG32" i="61"/>
  <c r="AG31" i="61"/>
  <c r="AG29" i="61"/>
  <c r="AG27" i="61"/>
  <c r="AG23" i="61"/>
  <c r="AG25" i="61"/>
  <c r="AG20" i="61"/>
  <c r="AH10" i="61"/>
  <c r="V35" i="61"/>
  <c r="V33" i="61"/>
  <c r="V20" i="61"/>
  <c r="AA39" i="61"/>
  <c r="AA37" i="61"/>
  <c r="AA29" i="61"/>
  <c r="AA28" i="61"/>
  <c r="AA27" i="61"/>
  <c r="AA25" i="61"/>
  <c r="AA24" i="61"/>
  <c r="AA23" i="61"/>
  <c r="AA22" i="61"/>
  <c r="AA20" i="61"/>
  <c r="AA19" i="61"/>
  <c r="AB10" i="61"/>
  <c r="AA40" i="61"/>
  <c r="AA35" i="61"/>
  <c r="AA34" i="61"/>
  <c r="AA33" i="61"/>
  <c r="AA32" i="61"/>
  <c r="AA31" i="61"/>
  <c r="AA18" i="61"/>
  <c r="AA17" i="61"/>
  <c r="AA16" i="61"/>
  <c r="AA15" i="61"/>
  <c r="AA38" i="61"/>
  <c r="D89" i="57"/>
  <c r="F149" i="57"/>
  <c r="E149" i="57" s="1"/>
  <c r="D149" i="57" s="1"/>
  <c r="F200" i="58"/>
  <c r="E200" i="58" s="1"/>
  <c r="D200" i="58" s="1"/>
  <c r="F147" i="59"/>
  <c r="E147" i="59" s="1"/>
  <c r="D147" i="59" s="1"/>
  <c r="D125" i="59"/>
  <c r="F130" i="59" s="1"/>
  <c r="E130" i="59" s="1"/>
  <c r="D130" i="59" s="1"/>
  <c r="F93" i="60"/>
  <c r="E93" i="60" s="1"/>
  <c r="D93" i="60" s="1"/>
  <c r="F259" i="59"/>
  <c r="E259" i="59" s="1"/>
  <c r="D259" i="59" s="1"/>
  <c r="D18" i="59"/>
  <c r="F23" i="59" s="1"/>
  <c r="E23" i="59" s="1"/>
  <c r="D23" i="59" s="1"/>
  <c r="D315" i="59"/>
  <c r="F91" i="58"/>
  <c r="E91" i="58" s="1"/>
  <c r="D91" i="58" s="1"/>
  <c r="F39" i="56"/>
  <c r="E39" i="56" s="1"/>
  <c r="D39" i="56" s="1"/>
  <c r="F193" i="56"/>
  <c r="E193" i="56" s="1"/>
  <c r="D193" i="56" s="1"/>
  <c r="D70" i="60"/>
  <c r="F75" i="60" s="1"/>
  <c r="E75" i="60" s="1"/>
  <c r="D75" i="60" s="1"/>
  <c r="D139" i="56"/>
  <c r="D38" i="57"/>
  <c r="G180" i="57"/>
  <c r="E180" i="57" s="1"/>
  <c r="F183" i="57" s="1"/>
  <c r="E183" i="57" s="1"/>
  <c r="D183" i="57" s="1"/>
  <c r="G182" i="57"/>
  <c r="E182" i="57" s="1"/>
  <c r="D182" i="57" s="1"/>
  <c r="E179" i="57"/>
  <c r="D178" i="58"/>
  <c r="F183" i="58" s="1"/>
  <c r="E183" i="58" s="1"/>
  <c r="D183" i="58" s="1"/>
  <c r="D91" i="59"/>
  <c r="D145" i="59"/>
  <c r="D199" i="59"/>
  <c r="G233" i="58"/>
  <c r="E233" i="58" s="1"/>
  <c r="D233" i="58" s="1"/>
  <c r="G231" i="58"/>
  <c r="E231" i="58" s="1"/>
  <c r="F234" i="58" s="1"/>
  <c r="E234" i="58" s="1"/>
  <c r="D234" i="58" s="1"/>
  <c r="E230" i="58"/>
  <c r="D38" i="60"/>
  <c r="G157" i="60"/>
  <c r="E157" i="60" s="1"/>
  <c r="D157" i="60" s="1"/>
  <c r="E155" i="60"/>
  <c r="D155" i="60" s="1"/>
  <c r="H21" i="60"/>
  <c r="E21" i="60" s="1"/>
  <c r="D21" i="60" s="1"/>
  <c r="G19" i="60"/>
  <c r="E19" i="60" s="1"/>
  <c r="F22" i="60" s="1"/>
  <c r="E22" i="60" s="1"/>
  <c r="D22" i="60" s="1"/>
  <c r="E18" i="60"/>
  <c r="D237" i="59"/>
  <c r="F242" i="59" s="1"/>
  <c r="E242" i="59" s="1"/>
  <c r="D242" i="59" s="1"/>
  <c r="G74" i="59"/>
  <c r="E74" i="59" s="1"/>
  <c r="D74" i="59" s="1"/>
  <c r="G72" i="59"/>
  <c r="E72" i="59" s="1"/>
  <c r="F75" i="59" s="1"/>
  <c r="E75" i="59" s="1"/>
  <c r="D75" i="59" s="1"/>
  <c r="E71" i="59"/>
  <c r="G182" i="59"/>
  <c r="E182" i="59" s="1"/>
  <c r="D182" i="59" s="1"/>
  <c r="G180" i="59"/>
  <c r="E180" i="59" s="1"/>
  <c r="F183" i="59" s="1"/>
  <c r="E183" i="59" s="1"/>
  <c r="D183" i="59" s="1"/>
  <c r="E179" i="59"/>
  <c r="G325" i="59"/>
  <c r="E325" i="59" s="1"/>
  <c r="D325" i="59" s="1"/>
  <c r="D69" i="58"/>
  <c r="F74" i="58" s="1"/>
  <c r="E74" i="58" s="1"/>
  <c r="D74" i="58" s="1"/>
  <c r="H21" i="58"/>
  <c r="E21" i="58" s="1"/>
  <c r="D21" i="58" s="1"/>
  <c r="G19" i="58"/>
  <c r="E19" i="58" s="1"/>
  <c r="F22" i="58" s="1"/>
  <c r="E22" i="58" s="1"/>
  <c r="D22" i="58" s="1"/>
  <c r="E18" i="58"/>
  <c r="H123" i="58"/>
  <c r="E123" i="58" s="1"/>
  <c r="D123" i="58" s="1"/>
  <c r="G121" i="58"/>
  <c r="E121" i="58" s="1"/>
  <c r="F124" i="58" s="1"/>
  <c r="E124" i="58" s="1"/>
  <c r="D124" i="58" s="1"/>
  <c r="E120" i="58"/>
  <c r="D140" i="58"/>
  <c r="E72" i="58"/>
  <c r="D72" i="58" s="1"/>
  <c r="G213" i="57"/>
  <c r="E213" i="57" s="1"/>
  <c r="D213" i="57" s="1"/>
  <c r="E211" i="57"/>
  <c r="D211" i="57" s="1"/>
  <c r="H21" i="57"/>
  <c r="E21" i="57" s="1"/>
  <c r="D21" i="57" s="1"/>
  <c r="G19" i="57"/>
  <c r="E19" i="57" s="1"/>
  <c r="F22" i="57" s="1"/>
  <c r="E22" i="57" s="1"/>
  <c r="D22" i="57" s="1"/>
  <c r="E18" i="57"/>
  <c r="H72" i="57"/>
  <c r="E72" i="57" s="1"/>
  <c r="D72" i="57" s="1"/>
  <c r="E69" i="57"/>
  <c r="G70" i="57"/>
  <c r="E70" i="57" s="1"/>
  <c r="F73" i="57" s="1"/>
  <c r="E73" i="57" s="1"/>
  <c r="D73" i="57" s="1"/>
  <c r="G20" i="56"/>
  <c r="E20" i="56" s="1"/>
  <c r="D20" i="56" s="1"/>
  <c r="G18" i="56"/>
  <c r="E18" i="56" s="1"/>
  <c r="F21" i="56" s="1"/>
  <c r="E21" i="56" s="1"/>
  <c r="D21" i="56" s="1"/>
  <c r="E17" i="56"/>
  <c r="D171" i="56"/>
  <c r="F176" i="56" s="1"/>
  <c r="E176" i="56" s="1"/>
  <c r="D176" i="56" s="1"/>
  <c r="G71" i="56"/>
  <c r="E71" i="56" s="1"/>
  <c r="D71" i="56" s="1"/>
  <c r="G69" i="56"/>
  <c r="E69" i="56" s="1"/>
  <c r="F72" i="56" s="1"/>
  <c r="E72" i="56" s="1"/>
  <c r="D72" i="56" s="1"/>
  <c r="E68" i="56"/>
  <c r="G256" i="56"/>
  <c r="E256" i="56" s="1"/>
  <c r="D256" i="56" s="1"/>
  <c r="E254" i="56"/>
  <c r="D254" i="56" s="1"/>
  <c r="H122" i="56"/>
  <c r="E122" i="56" s="1"/>
  <c r="D122" i="56" s="1"/>
  <c r="G120" i="56"/>
  <c r="E120" i="56" s="1"/>
  <c r="F123" i="56" s="1"/>
  <c r="E123" i="56" s="1"/>
  <c r="D123" i="56" s="1"/>
  <c r="E119" i="56"/>
  <c r="D37" i="56"/>
  <c r="D88" i="56"/>
  <c r="V22" i="61" l="1"/>
  <c r="V45" i="61"/>
  <c r="V23" i="61"/>
  <c r="V15" i="61"/>
  <c r="V25" i="61"/>
  <c r="V34" i="61"/>
  <c r="V43" i="61"/>
  <c r="V17" i="61"/>
  <c r="W10" i="61"/>
  <c r="V47" i="61"/>
  <c r="V28" i="61"/>
  <c r="V40" i="61"/>
  <c r="V39" i="61"/>
  <c r="V18" i="61"/>
  <c r="V16" i="61"/>
  <c r="V38" i="61"/>
  <c r="V27" i="61"/>
  <c r="V31" i="61"/>
  <c r="V44" i="61"/>
  <c r="V14" i="61"/>
  <c r="D68" i="56"/>
  <c r="F73" i="56" s="1"/>
  <c r="E73" i="56" s="1"/>
  <c r="D73" i="56" s="1"/>
  <c r="D17" i="56"/>
  <c r="F22" i="56" s="1"/>
  <c r="E22" i="56" s="1"/>
  <c r="D22" i="56" s="1"/>
  <c r="V24" i="61"/>
  <c r="V19" i="61"/>
  <c r="V29" i="61"/>
  <c r="V32" i="61"/>
  <c r="V37" i="61"/>
  <c r="V41" i="61"/>
  <c r="U55" i="61"/>
  <c r="U12" i="61" s="1"/>
  <c r="AB14" i="61"/>
  <c r="AB52" i="61"/>
  <c r="AB48" i="61"/>
  <c r="AB44" i="61"/>
  <c r="AB53" i="61"/>
  <c r="AB49" i="61"/>
  <c r="AB45" i="61"/>
  <c r="AB51" i="61"/>
  <c r="AB50" i="61"/>
  <c r="AB46" i="61"/>
  <c r="AB42" i="61"/>
  <c r="AB41" i="61"/>
  <c r="AB47" i="61"/>
  <c r="AB43" i="61"/>
  <c r="AH14" i="61"/>
  <c r="AH50" i="61"/>
  <c r="AH46" i="61"/>
  <c r="AH42" i="61"/>
  <c r="AH51" i="61"/>
  <c r="AH47" i="61"/>
  <c r="AH43" i="61"/>
  <c r="AH41" i="61"/>
  <c r="AH53" i="61"/>
  <c r="AH49" i="61"/>
  <c r="AH52" i="61"/>
  <c r="AH48" i="61"/>
  <c r="AH44" i="61"/>
  <c r="AH45" i="61"/>
  <c r="W14" i="61"/>
  <c r="W51" i="61"/>
  <c r="W47" i="61"/>
  <c r="W43" i="61"/>
  <c r="W41" i="61"/>
  <c r="W52" i="61"/>
  <c r="W48" i="61"/>
  <c r="W44" i="61"/>
  <c r="W50" i="61"/>
  <c r="W53" i="61"/>
  <c r="W49" i="61"/>
  <c r="W45" i="61"/>
  <c r="W46" i="61"/>
  <c r="W42" i="61"/>
  <c r="P14" i="61"/>
  <c r="P52" i="61"/>
  <c r="P48" i="61"/>
  <c r="P44" i="61"/>
  <c r="P53" i="61"/>
  <c r="P49" i="61"/>
  <c r="P45" i="61"/>
  <c r="P51" i="61"/>
  <c r="P50" i="61"/>
  <c r="P46" i="61"/>
  <c r="P42" i="61"/>
  <c r="P41" i="61"/>
  <c r="P47" i="61"/>
  <c r="P43" i="61"/>
  <c r="AG55" i="61"/>
  <c r="AG12" i="61" s="1"/>
  <c r="P40" i="61"/>
  <c r="P39" i="61"/>
  <c r="P38" i="61"/>
  <c r="P37" i="61"/>
  <c r="P35" i="61"/>
  <c r="P34" i="61"/>
  <c r="P33" i="61"/>
  <c r="P32" i="61"/>
  <c r="P31" i="61"/>
  <c r="P29" i="61"/>
  <c r="P28" i="61"/>
  <c r="P27" i="61"/>
  <c r="P25" i="61"/>
  <c r="P24" i="61"/>
  <c r="P23" i="61"/>
  <c r="P22" i="61"/>
  <c r="P20" i="61"/>
  <c r="P18" i="61"/>
  <c r="P17" i="61"/>
  <c r="P16" i="61"/>
  <c r="P15" i="61"/>
  <c r="Q10" i="61"/>
  <c r="P19" i="61"/>
  <c r="AA55" i="61"/>
  <c r="AA12" i="61" s="1"/>
  <c r="AB40" i="61"/>
  <c r="AB39" i="61"/>
  <c r="AB38" i="61"/>
  <c r="AB37" i="61"/>
  <c r="AB35" i="61"/>
  <c r="AB34" i="61"/>
  <c r="AB33" i="61"/>
  <c r="AB32" i="61"/>
  <c r="AB31" i="61"/>
  <c r="AB29" i="61"/>
  <c r="AB28" i="61"/>
  <c r="AB27" i="61"/>
  <c r="AB25" i="61"/>
  <c r="AB24" i="61"/>
  <c r="AB23" i="61"/>
  <c r="AB22" i="61"/>
  <c r="AB19" i="61"/>
  <c r="AB18" i="61"/>
  <c r="AB17" i="61"/>
  <c r="AB16" i="61"/>
  <c r="AB15" i="61"/>
  <c r="AB20" i="61"/>
  <c r="AC10" i="61"/>
  <c r="W40" i="61"/>
  <c r="W38" i="61"/>
  <c r="W29" i="61"/>
  <c r="W28" i="61"/>
  <c r="W27" i="61"/>
  <c r="W25" i="61"/>
  <c r="W24" i="61"/>
  <c r="W23" i="61"/>
  <c r="W22" i="61"/>
  <c r="W20" i="61"/>
  <c r="W19" i="61"/>
  <c r="W39" i="61"/>
  <c r="W37" i="61"/>
  <c r="W18" i="61"/>
  <c r="W17" i="61"/>
  <c r="W16" i="61"/>
  <c r="W15" i="61"/>
  <c r="W35" i="61"/>
  <c r="W34" i="61"/>
  <c r="W33" i="61"/>
  <c r="W32" i="61"/>
  <c r="W31" i="61"/>
  <c r="AH39" i="61"/>
  <c r="AH37" i="61"/>
  <c r="AH28" i="61"/>
  <c r="AH24" i="61"/>
  <c r="AH22" i="61"/>
  <c r="AH19" i="61"/>
  <c r="AH38" i="61"/>
  <c r="AH35" i="61"/>
  <c r="AH34" i="61"/>
  <c r="AH33" i="61"/>
  <c r="AH32" i="61"/>
  <c r="AH31" i="61"/>
  <c r="AH29" i="61"/>
  <c r="AH27" i="61"/>
  <c r="AH25" i="61"/>
  <c r="AH23" i="61"/>
  <c r="AH20" i="61"/>
  <c r="AI10" i="61"/>
  <c r="AH40" i="61"/>
  <c r="AH17" i="61"/>
  <c r="AH16" i="61"/>
  <c r="AH15" i="61"/>
  <c r="AH18" i="61"/>
  <c r="O55" i="61"/>
  <c r="O12" i="61" s="1"/>
  <c r="D18" i="60"/>
  <c r="F23" i="60" s="1"/>
  <c r="E23" i="60" s="1"/>
  <c r="D23" i="60" s="1"/>
  <c r="D18" i="58"/>
  <c r="F23" i="58" s="1"/>
  <c r="E23" i="58" s="1"/>
  <c r="D23" i="58" s="1"/>
  <c r="D69" i="57"/>
  <c r="F74" i="57" s="1"/>
  <c r="E74" i="57" s="1"/>
  <c r="D74" i="57" s="1"/>
  <c r="D179" i="59"/>
  <c r="F184" i="59" s="1"/>
  <c r="E184" i="59" s="1"/>
  <c r="D184" i="59" s="1"/>
  <c r="D230" i="58"/>
  <c r="F235" i="58" s="1"/>
  <c r="E235" i="58" s="1"/>
  <c r="D235" i="58" s="1"/>
  <c r="D179" i="57"/>
  <c r="F184" i="57" s="1"/>
  <c r="E184" i="57" s="1"/>
  <c r="D184" i="57" s="1"/>
  <c r="D71" i="59"/>
  <c r="F76" i="59" s="1"/>
  <c r="E76" i="59" s="1"/>
  <c r="D76" i="59" s="1"/>
  <c r="D120" i="58"/>
  <c r="F125" i="58" s="1"/>
  <c r="E125" i="58" s="1"/>
  <c r="D125" i="58" s="1"/>
  <c r="D18" i="57"/>
  <c r="F23" i="57" s="1"/>
  <c r="E23" i="57" s="1"/>
  <c r="D23" i="57" s="1"/>
  <c r="D119" i="56"/>
  <c r="F124" i="56" s="1"/>
  <c r="E124" i="56" s="1"/>
  <c r="D124" i="56" s="1"/>
  <c r="V55" i="61" l="1"/>
  <c r="V12" i="61" s="1"/>
  <c r="AC53" i="61"/>
  <c r="AC49" i="61"/>
  <c r="AC45" i="61"/>
  <c r="AC50" i="61"/>
  <c r="AC46" i="61"/>
  <c r="AC42" i="61"/>
  <c r="AC52" i="61"/>
  <c r="AC51" i="61"/>
  <c r="AC47" i="61"/>
  <c r="AC43" i="61"/>
  <c r="AC41" i="61"/>
  <c r="AC48" i="61"/>
  <c r="AC44" i="61"/>
  <c r="AI14" i="61"/>
  <c r="AI51" i="61"/>
  <c r="AI47" i="61"/>
  <c r="AI43" i="61"/>
  <c r="AI41" i="61"/>
  <c r="AI52" i="61"/>
  <c r="AI48" i="61"/>
  <c r="AI44" i="61"/>
  <c r="AI50" i="61"/>
  <c r="AI53" i="61"/>
  <c r="AI49" i="61"/>
  <c r="AI45" i="61"/>
  <c r="AI46" i="61"/>
  <c r="AI42" i="61"/>
  <c r="Q14" i="61"/>
  <c r="Q53" i="61"/>
  <c r="Q49" i="61"/>
  <c r="Q45" i="61"/>
  <c r="Q50" i="61"/>
  <c r="Q46" i="61"/>
  <c r="Q42" i="61"/>
  <c r="Q52" i="61"/>
  <c r="Q51" i="61"/>
  <c r="Q47" i="61"/>
  <c r="Q43" i="61"/>
  <c r="Q41" i="61"/>
  <c r="Q48" i="61"/>
  <c r="Q44" i="61"/>
  <c r="AI39" i="61"/>
  <c r="AI37" i="61"/>
  <c r="AI35" i="61"/>
  <c r="AI34" i="61"/>
  <c r="AI33" i="61"/>
  <c r="AI32" i="61"/>
  <c r="AI31" i="61"/>
  <c r="AI29" i="61"/>
  <c r="AI28" i="61"/>
  <c r="AI27" i="61"/>
  <c r="AI25" i="61"/>
  <c r="AI24" i="61"/>
  <c r="AI23" i="61"/>
  <c r="AI22" i="61"/>
  <c r="AI20" i="61"/>
  <c r="AI19" i="61"/>
  <c r="AI38" i="61"/>
  <c r="AI40" i="61"/>
  <c r="AI18" i="61"/>
  <c r="AI17" i="61"/>
  <c r="AI16" i="61"/>
  <c r="AI15" i="61"/>
  <c r="P55" i="61"/>
  <c r="P12" i="61" s="1"/>
  <c r="AC40" i="61"/>
  <c r="AC39" i="61"/>
  <c r="AC38" i="61"/>
  <c r="AC37" i="61"/>
  <c r="AC35" i="61"/>
  <c r="AC34" i="61"/>
  <c r="AC33" i="61"/>
  <c r="AC32" i="61"/>
  <c r="AC31" i="61"/>
  <c r="AC19" i="61"/>
  <c r="AC18" i="61"/>
  <c r="AC17" i="61"/>
  <c r="AC16" i="61"/>
  <c r="AC15" i="61"/>
  <c r="AC29" i="61"/>
  <c r="AC27" i="61"/>
  <c r="AC25" i="61"/>
  <c r="AC23" i="61"/>
  <c r="AC20" i="61"/>
  <c r="AC28" i="61"/>
  <c r="AC22" i="61"/>
  <c r="AC24" i="61"/>
  <c r="AH55" i="61"/>
  <c r="AH12" i="61" s="1"/>
  <c r="W55" i="61"/>
  <c r="W12" i="61" s="1"/>
  <c r="AB55" i="61"/>
  <c r="AB12" i="61" s="1"/>
  <c r="Q40" i="61"/>
  <c r="Q39" i="61"/>
  <c r="Q38" i="61"/>
  <c r="Q37" i="61"/>
  <c r="Q35" i="61"/>
  <c r="Q34" i="61"/>
  <c r="Q33" i="61"/>
  <c r="Q32" i="61"/>
  <c r="Q31" i="61"/>
  <c r="Q29" i="61"/>
  <c r="Q27" i="61"/>
  <c r="Q25" i="61"/>
  <c r="Q23" i="61"/>
  <c r="Q18" i="61"/>
  <c r="Q17" i="61"/>
  <c r="Q16" i="61"/>
  <c r="Q15" i="61"/>
  <c r="Q19" i="61"/>
  <c r="Q28" i="61"/>
  <c r="Q24" i="61"/>
  <c r="Q22" i="61"/>
  <c r="Q20" i="61"/>
  <c r="Y42" i="53"/>
  <c r="AB42" i="53"/>
  <c r="AC42" i="53"/>
  <c r="AD42" i="53"/>
  <c r="AE42" i="53"/>
  <c r="AF42" i="53"/>
  <c r="AG42" i="53"/>
  <c r="AH42" i="53"/>
  <c r="W37" i="53"/>
  <c r="W31" i="53"/>
  <c r="W29" i="53"/>
  <c r="W26" i="53"/>
  <c r="W24" i="53"/>
  <c r="W19" i="53"/>
  <c r="W18" i="53"/>
  <c r="W14" i="53"/>
  <c r="V14" i="53"/>
  <c r="W30" i="52"/>
  <c r="W22" i="52"/>
  <c r="V14" i="52"/>
  <c r="W25" i="51"/>
  <c r="W35" i="51"/>
  <c r="W36" i="51"/>
  <c r="V14" i="51"/>
  <c r="W23" i="49"/>
  <c r="W26" i="49"/>
  <c r="W14" i="49"/>
  <c r="W38" i="54"/>
  <c r="V32" i="54"/>
  <c r="W15" i="54"/>
  <c r="W19" i="54"/>
  <c r="W20" i="54"/>
  <c r="W29" i="54"/>
  <c r="V14" i="54"/>
  <c r="AI55" i="61" l="1"/>
  <c r="AI12" i="61" s="1"/>
  <c r="Q55" i="61"/>
  <c r="Q12" i="61" s="1"/>
  <c r="P74" i="53"/>
  <c r="P73" i="53" s="1"/>
  <c r="F901" i="43" s="1"/>
  <c r="P71" i="53"/>
  <c r="P81" i="53"/>
  <c r="P78" i="53"/>
  <c r="P77" i="53"/>
  <c r="P87" i="53"/>
  <c r="P58" i="53"/>
  <c r="P57" i="53"/>
  <c r="P56" i="53"/>
  <c r="BF28" i="53"/>
  <c r="BF16" i="53"/>
  <c r="BF14" i="53"/>
  <c r="P63" i="53"/>
  <c r="P62" i="53"/>
  <c r="P55" i="53"/>
  <c r="P54" i="53"/>
  <c r="P99" i="53"/>
  <c r="P98" i="53"/>
  <c r="P97" i="53"/>
  <c r="P96" i="53"/>
  <c r="P95" i="53"/>
  <c r="P94" i="53"/>
  <c r="P93" i="53"/>
  <c r="P92" i="53"/>
  <c r="P90" i="53"/>
  <c r="P88" i="53"/>
  <c r="P85" i="53"/>
  <c r="P91" i="53"/>
  <c r="P84" i="53"/>
  <c r="P82" i="53"/>
  <c r="P80" i="53"/>
  <c r="P79" i="53"/>
  <c r="P67" i="53"/>
  <c r="P66" i="53"/>
  <c r="P50" i="53"/>
  <c r="P49" i="53"/>
  <c r="P48" i="53"/>
  <c r="BF46" i="54"/>
  <c r="BF41" i="54"/>
  <c r="BF36" i="54"/>
  <c r="BF28" i="54"/>
  <c r="BF14" i="54"/>
  <c r="BF27" i="52"/>
  <c r="BF14" i="52"/>
  <c r="BF24" i="51"/>
  <c r="BF31" i="51"/>
  <c r="BF36" i="51"/>
  <c r="BF14" i="51"/>
  <c r="BF15" i="49"/>
  <c r="BF16" i="49"/>
  <c r="BF17" i="49"/>
  <c r="BF18" i="49"/>
  <c r="BF30" i="49"/>
  <c r="BF32" i="49"/>
  <c r="BF33" i="49"/>
  <c r="BF34" i="49"/>
  <c r="BF35" i="49"/>
  <c r="BF14" i="49"/>
  <c r="M53" i="52"/>
  <c r="P45" i="52"/>
  <c r="P64" i="52"/>
  <c r="P63" i="52"/>
  <c r="P60" i="52"/>
  <c r="P58" i="52"/>
  <c r="P52" i="52"/>
  <c r="P49" i="52"/>
  <c r="P44" i="52"/>
  <c r="P43" i="52"/>
  <c r="P67" i="51"/>
  <c r="M58" i="51"/>
  <c r="M59" i="51" s="1"/>
  <c r="P47" i="51"/>
  <c r="P73" i="51"/>
  <c r="P71" i="51"/>
  <c r="P72" i="51"/>
  <c r="P66" i="51"/>
  <c r="P64" i="51"/>
  <c r="P51" i="51"/>
  <c r="P46" i="51"/>
  <c r="BG16" i="51"/>
  <c r="BG24" i="51"/>
  <c r="BG28" i="51"/>
  <c r="BG34" i="51"/>
  <c r="BG36" i="51"/>
  <c r="BG14" i="51"/>
  <c r="BG46" i="54"/>
  <c r="BG36" i="54"/>
  <c r="BG32" i="54"/>
  <c r="BG17" i="54"/>
  <c r="BG28" i="54"/>
  <c r="BG14" i="54"/>
  <c r="BG15" i="49"/>
  <c r="BG16" i="49"/>
  <c r="BG17" i="49"/>
  <c r="BG18" i="49"/>
  <c r="BG19" i="49"/>
  <c r="BG20" i="49"/>
  <c r="BG21" i="49"/>
  <c r="BG22" i="49"/>
  <c r="BG23" i="49"/>
  <c r="BG24" i="49"/>
  <c r="BG25" i="49"/>
  <c r="BG26" i="49"/>
  <c r="BG27" i="49"/>
  <c r="BG28" i="49"/>
  <c r="BG29" i="49"/>
  <c r="BG31" i="49"/>
  <c r="BG32" i="49"/>
  <c r="BG33" i="49"/>
  <c r="BG34" i="49"/>
  <c r="BG35" i="49"/>
  <c r="BG14" i="49"/>
  <c r="P57" i="49"/>
  <c r="P56" i="49"/>
  <c r="P53" i="49"/>
  <c r="P52" i="49"/>
  <c r="P51" i="49"/>
  <c r="P49" i="49"/>
  <c r="P48" i="49"/>
  <c r="P44" i="49"/>
  <c r="P43" i="49"/>
  <c r="R31" i="49"/>
  <c r="R32" i="49"/>
  <c r="I30" i="49"/>
  <c r="I32" i="49"/>
  <c r="J30" i="49"/>
  <c r="I31" i="49" s="1"/>
  <c r="BL30" i="49"/>
  <c r="BE30" i="49"/>
  <c r="BC30" i="49"/>
  <c r="BB30" i="49"/>
  <c r="BA30" i="49"/>
  <c r="AZ30" i="49"/>
  <c r="AY30" i="49"/>
  <c r="AX30" i="49"/>
  <c r="AW30" i="49"/>
  <c r="AV30" i="49"/>
  <c r="AU30" i="49"/>
  <c r="AT30" i="49"/>
  <c r="AS30" i="49"/>
  <c r="AR30" i="49"/>
  <c r="AQ30" i="49"/>
  <c r="AP30" i="49"/>
  <c r="AO30" i="49"/>
  <c r="AN30" i="49"/>
  <c r="AM30" i="49"/>
  <c r="AL30" i="49"/>
  <c r="AK30" i="49"/>
  <c r="AJ30" i="49"/>
  <c r="AI30" i="49"/>
  <c r="R30" i="49"/>
  <c r="P89" i="53" l="1"/>
  <c r="F905" i="43" s="1"/>
  <c r="P61" i="53"/>
  <c r="F898" i="43" s="1"/>
  <c r="P83" i="53"/>
  <c r="F903" i="43" s="1"/>
  <c r="P86" i="53"/>
  <c r="F904" i="43" s="1"/>
  <c r="P76" i="53"/>
  <c r="F902" i="43" s="1"/>
  <c r="P62" i="52"/>
  <c r="F638" i="43" s="1"/>
  <c r="P54" i="52"/>
  <c r="P59" i="52"/>
  <c r="F637" i="43" s="1"/>
  <c r="P53" i="52"/>
  <c r="M60" i="51"/>
  <c r="P70" i="51"/>
  <c r="F475" i="43" s="1"/>
  <c r="K30" i="49"/>
  <c r="L30" i="49" s="1"/>
  <c r="BG30" i="49" s="1"/>
  <c r="P50" i="49"/>
  <c r="F340" i="43" s="1"/>
  <c r="BK30" i="49"/>
  <c r="BH46" i="54"/>
  <c r="BH41" i="54"/>
  <c r="BH32" i="54"/>
  <c r="BH17" i="54"/>
  <c r="BI17" i="54"/>
  <c r="BH28" i="54"/>
  <c r="BI28" i="54"/>
  <c r="BH14" i="54"/>
  <c r="M84" i="54"/>
  <c r="P84" i="54" s="1"/>
  <c r="P105" i="54" s="1"/>
  <c r="BH29" i="53"/>
  <c r="BH16" i="53"/>
  <c r="BH17" i="53"/>
  <c r="BH14" i="53"/>
  <c r="BH17" i="52"/>
  <c r="BH27" i="52"/>
  <c r="BH14" i="52"/>
  <c r="BH16" i="51"/>
  <c r="BH24" i="51"/>
  <c r="BH28" i="51"/>
  <c r="BH31" i="51"/>
  <c r="BH34" i="51"/>
  <c r="BH14" i="51"/>
  <c r="BI46" i="54"/>
  <c r="BI41" i="54"/>
  <c r="BI36" i="54"/>
  <c r="BI32" i="54"/>
  <c r="N15" i="54"/>
  <c r="BH15" i="54" s="1"/>
  <c r="P67" i="54"/>
  <c r="G106" i="54"/>
  <c r="G105" i="54"/>
  <c r="P102" i="54"/>
  <c r="P99" i="54"/>
  <c r="P96" i="54"/>
  <c r="P93" i="54"/>
  <c r="P88" i="54"/>
  <c r="M79" i="54"/>
  <c r="P79" i="54" s="1"/>
  <c r="P118" i="54"/>
  <c r="P117" i="54"/>
  <c r="P116" i="54"/>
  <c r="P115" i="54"/>
  <c r="P114" i="54"/>
  <c r="P113" i="54"/>
  <c r="P112" i="54"/>
  <c r="P111" i="54"/>
  <c r="P110" i="54"/>
  <c r="P109" i="54"/>
  <c r="P108" i="54"/>
  <c r="P107" i="54"/>
  <c r="P103" i="54"/>
  <c r="P100" i="54"/>
  <c r="P97" i="54"/>
  <c r="P94" i="54"/>
  <c r="P91" i="54"/>
  <c r="P90" i="54"/>
  <c r="P89" i="54"/>
  <c r="P86" i="54"/>
  <c r="P85" i="54"/>
  <c r="M106" i="54" s="1"/>
  <c r="P106" i="54" s="1"/>
  <c r="P82" i="54"/>
  <c r="P81" i="54"/>
  <c r="P80" i="54"/>
  <c r="P78" i="54"/>
  <c r="P72" i="54"/>
  <c r="P71" i="54"/>
  <c r="BF15" i="54" l="1"/>
  <c r="BG15" i="54"/>
  <c r="P55" i="52"/>
  <c r="M56" i="52"/>
  <c r="M61" i="51"/>
  <c r="P104" i="54"/>
  <c r="F170" i="43" s="1"/>
  <c r="P101" i="54"/>
  <c r="F169" i="43" s="1"/>
  <c r="P83" i="54"/>
  <c r="P77" i="54"/>
  <c r="F163" i="43" s="1"/>
  <c r="P92" i="54"/>
  <c r="F166" i="43" s="1"/>
  <c r="P95" i="54"/>
  <c r="F167" i="43" s="1"/>
  <c r="F164" i="43" l="1"/>
  <c r="M57" i="52"/>
  <c r="P56" i="52"/>
  <c r="M62" i="51"/>
  <c r="P70" i="54"/>
  <c r="F161" i="43" s="1"/>
  <c r="P66" i="54"/>
  <c r="P65" i="54"/>
  <c r="P64" i="54"/>
  <c r="P57" i="52" l="1"/>
  <c r="M63" i="51"/>
  <c r="Q38" i="54"/>
  <c r="Q39" i="54" s="1"/>
  <c r="Q40" i="54" s="1"/>
  <c r="BJ54" i="54"/>
  <c r="BJ31" i="54"/>
  <c r="J40" i="54"/>
  <c r="I41" i="54" s="1"/>
  <c r="K41" i="54" s="1"/>
  <c r="J45" i="54"/>
  <c r="I46" i="54" s="1"/>
  <c r="K46" i="54" s="1"/>
  <c r="R53" i="54"/>
  <c r="I53" i="54"/>
  <c r="I45" i="54"/>
  <c r="J35" i="54"/>
  <c r="I36" i="54" s="1"/>
  <c r="K36" i="54" s="1"/>
  <c r="L36" i="54" s="1"/>
  <c r="N33" i="54"/>
  <c r="O33" i="54"/>
  <c r="R52" i="54"/>
  <c r="I52" i="54"/>
  <c r="R51" i="54"/>
  <c r="I51" i="54"/>
  <c r="K51" i="54" s="1"/>
  <c r="R50" i="54"/>
  <c r="I50" i="54"/>
  <c r="R49" i="54"/>
  <c r="I49" i="54"/>
  <c r="K49" i="54" s="1"/>
  <c r="R48" i="54"/>
  <c r="I48" i="54"/>
  <c r="K48" i="54" s="1"/>
  <c r="R47" i="54"/>
  <c r="I47" i="54"/>
  <c r="R46" i="54"/>
  <c r="N16" i="54"/>
  <c r="J27" i="54"/>
  <c r="I28" i="54" s="1"/>
  <c r="K28" i="54" s="1"/>
  <c r="I26" i="54"/>
  <c r="K26" i="54" s="1"/>
  <c r="R30" i="54"/>
  <c r="I30" i="54"/>
  <c r="K30" i="54" s="1"/>
  <c r="R29" i="54"/>
  <c r="I29" i="54"/>
  <c r="R28" i="54"/>
  <c r="R27" i="54"/>
  <c r="I27" i="54"/>
  <c r="BE26" i="54"/>
  <c r="R26" i="54"/>
  <c r="BE25" i="54"/>
  <c r="R25" i="54"/>
  <c r="I25" i="54"/>
  <c r="K25" i="54" s="1"/>
  <c r="K58" i="54"/>
  <c r="AH56" i="54"/>
  <c r="AG56" i="54"/>
  <c r="AF56" i="54"/>
  <c r="AE56" i="54"/>
  <c r="AD56" i="54"/>
  <c r="AC56" i="54"/>
  <c r="AB56" i="54"/>
  <c r="Y56" i="54"/>
  <c r="BC55" i="54"/>
  <c r="R45" i="54"/>
  <c r="R44" i="54"/>
  <c r="I44" i="54"/>
  <c r="R43" i="54"/>
  <c r="I43" i="54"/>
  <c r="K43" i="54" s="1"/>
  <c r="R42" i="54"/>
  <c r="I42" i="54"/>
  <c r="K42" i="54" s="1"/>
  <c r="R41" i="54"/>
  <c r="R40" i="54"/>
  <c r="I40" i="54"/>
  <c r="R39" i="54"/>
  <c r="I39" i="54"/>
  <c r="R38" i="54"/>
  <c r="I38" i="54"/>
  <c r="K38" i="54" s="1"/>
  <c r="R37" i="54"/>
  <c r="I37" i="54"/>
  <c r="L37" i="54" s="1"/>
  <c r="BE37" i="54" s="1"/>
  <c r="BE36" i="54"/>
  <c r="R36" i="54"/>
  <c r="BE35" i="54"/>
  <c r="R35" i="54"/>
  <c r="I35" i="54"/>
  <c r="BE34" i="54"/>
  <c r="R34" i="54"/>
  <c r="I34" i="54"/>
  <c r="K34" i="54" s="1"/>
  <c r="L34" i="54" s="1"/>
  <c r="BE33" i="54"/>
  <c r="R33" i="54"/>
  <c r="I33" i="54"/>
  <c r="K33" i="54" s="1"/>
  <c r="L33" i="54" s="1"/>
  <c r="F33" i="54"/>
  <c r="F34" i="54" s="1"/>
  <c r="F35" i="54" s="1"/>
  <c r="BE32" i="54"/>
  <c r="K32" i="54"/>
  <c r="L32" i="54" s="1"/>
  <c r="BF32" i="54" s="1"/>
  <c r="AR31" i="54"/>
  <c r="AQ31" i="54"/>
  <c r="AP31" i="54"/>
  <c r="AO31" i="54"/>
  <c r="AN31" i="54"/>
  <c r="AM31" i="54"/>
  <c r="AL31" i="54"/>
  <c r="AK31" i="54"/>
  <c r="AJ31" i="54"/>
  <c r="AI31" i="54"/>
  <c r="BE24" i="54"/>
  <c r="R24" i="54"/>
  <c r="I24" i="54"/>
  <c r="K24" i="54" s="1"/>
  <c r="BE23" i="54"/>
  <c r="R23" i="54"/>
  <c r="I23" i="54"/>
  <c r="K23" i="54" s="1"/>
  <c r="BE22" i="54"/>
  <c r="R22" i="54"/>
  <c r="I22" i="54"/>
  <c r="K22" i="54" s="1"/>
  <c r="BE21" i="54"/>
  <c r="R21" i="54"/>
  <c r="I21" i="54"/>
  <c r="K21" i="54" s="1"/>
  <c r="BE20" i="54"/>
  <c r="R20" i="54"/>
  <c r="I20" i="54"/>
  <c r="K20" i="54" s="1"/>
  <c r="BE19" i="54"/>
  <c r="R19" i="54"/>
  <c r="I19" i="54"/>
  <c r="BE18" i="54"/>
  <c r="R18" i="54"/>
  <c r="I18" i="54"/>
  <c r="BE17" i="54"/>
  <c r="R17" i="54"/>
  <c r="I17" i="54"/>
  <c r="K17" i="54" s="1"/>
  <c r="BE16" i="54"/>
  <c r="R16" i="54"/>
  <c r="I16" i="54"/>
  <c r="K16" i="54" s="1"/>
  <c r="BE15" i="54"/>
  <c r="R15" i="54"/>
  <c r="O15" i="54"/>
  <c r="AU15" i="54" s="1"/>
  <c r="I15" i="54"/>
  <c r="K15" i="54" s="1"/>
  <c r="H15" i="54"/>
  <c r="H16" i="54" s="1"/>
  <c r="H17" i="54" s="1"/>
  <c r="H18" i="54" s="1"/>
  <c r="H19" i="54" s="1"/>
  <c r="H20" i="54" s="1"/>
  <c r="H21" i="54" s="1"/>
  <c r="H22" i="54" s="1"/>
  <c r="H23" i="54" s="1"/>
  <c r="H24" i="54" s="1"/>
  <c r="H32" i="54" s="1"/>
  <c r="H33" i="54" s="1"/>
  <c r="H34" i="54" s="1"/>
  <c r="H35" i="54" s="1"/>
  <c r="H36" i="54" s="1"/>
  <c r="H37" i="54" s="1"/>
  <c r="H38" i="54" s="1"/>
  <c r="H39" i="54" s="1"/>
  <c r="H40" i="54" s="1"/>
  <c r="H41" i="54" s="1"/>
  <c r="H42" i="54" s="1"/>
  <c r="H43" i="54" s="1"/>
  <c r="H44" i="54" s="1"/>
  <c r="H45" i="54" s="1"/>
  <c r="H46" i="54" s="1"/>
  <c r="H47" i="54" s="1"/>
  <c r="H48" i="54" s="1"/>
  <c r="H49" i="54" s="1"/>
  <c r="H50" i="54" s="1"/>
  <c r="H51" i="54" s="1"/>
  <c r="H52" i="54" s="1"/>
  <c r="H53" i="54" s="1"/>
  <c r="G15" i="54"/>
  <c r="G16" i="54" s="1"/>
  <c r="G17" i="54" s="1"/>
  <c r="G18" i="54" s="1"/>
  <c r="G19" i="54" s="1"/>
  <c r="G20" i="54" s="1"/>
  <c r="G21" i="54" s="1"/>
  <c r="G22" i="54" s="1"/>
  <c r="G23" i="54" s="1"/>
  <c r="G24" i="54" s="1"/>
  <c r="G32" i="54" s="1"/>
  <c r="G33" i="54" s="1"/>
  <c r="G34" i="54" s="1"/>
  <c r="G35" i="54" s="1"/>
  <c r="G36" i="54" s="1"/>
  <c r="G37" i="54" s="1"/>
  <c r="G38" i="54" s="1"/>
  <c r="G39" i="54" s="1"/>
  <c r="G40" i="54" s="1"/>
  <c r="G41" i="54" s="1"/>
  <c r="G42" i="54" s="1"/>
  <c r="G43" i="54" s="1"/>
  <c r="G44" i="54" s="1"/>
  <c r="G45" i="54" s="1"/>
  <c r="G46" i="54" s="1"/>
  <c r="G47" i="54" s="1"/>
  <c r="G48" i="54" s="1"/>
  <c r="G49" i="54" s="1"/>
  <c r="G50" i="54" s="1"/>
  <c r="G51" i="54" s="1"/>
  <c r="G52" i="54" s="1"/>
  <c r="G53" i="54" s="1"/>
  <c r="F15" i="54"/>
  <c r="F16" i="54" s="1"/>
  <c r="F17" i="54" s="1"/>
  <c r="F18" i="54" s="1"/>
  <c r="F19" i="54" s="1"/>
  <c r="F20" i="54" s="1"/>
  <c r="F21" i="54" s="1"/>
  <c r="F22" i="54" s="1"/>
  <c r="F23" i="54" s="1"/>
  <c r="F24" i="54" s="1"/>
  <c r="F25" i="54" s="1"/>
  <c r="F26" i="54" s="1"/>
  <c r="F27" i="54" s="1"/>
  <c r="F28" i="54" s="1"/>
  <c r="F29" i="54" s="1"/>
  <c r="F30" i="54" s="1"/>
  <c r="BM14" i="54"/>
  <c r="BE14" i="54"/>
  <c r="BB14" i="54"/>
  <c r="BA14" i="54"/>
  <c r="AZ14" i="54"/>
  <c r="AY14" i="54"/>
  <c r="AX14" i="54"/>
  <c r="AW14" i="54"/>
  <c r="AV14" i="54"/>
  <c r="AU14" i="54"/>
  <c r="AT14" i="54"/>
  <c r="AS14" i="54"/>
  <c r="AR14" i="54"/>
  <c r="AQ14" i="54"/>
  <c r="AP14" i="54"/>
  <c r="AO14" i="54"/>
  <c r="AN14" i="54"/>
  <c r="AM14" i="54"/>
  <c r="AL14" i="54"/>
  <c r="AK14" i="54"/>
  <c r="AJ14" i="54"/>
  <c r="AI14" i="54"/>
  <c r="K14" i="54"/>
  <c r="L14" i="54" s="1"/>
  <c r="BI14" i="54" s="1"/>
  <c r="BB11" i="54"/>
  <c r="BA11" i="54"/>
  <c r="AZ11" i="54"/>
  <c r="AY11" i="54"/>
  <c r="AX11" i="54"/>
  <c r="AW11" i="54"/>
  <c r="AR11" i="54"/>
  <c r="AQ11" i="54"/>
  <c r="AP11" i="54"/>
  <c r="AO11" i="54"/>
  <c r="AN11" i="54"/>
  <c r="AM11" i="54"/>
  <c r="AH11" i="54"/>
  <c r="AG11" i="54"/>
  <c r="AF11" i="54"/>
  <c r="AE11" i="54"/>
  <c r="AD11" i="54"/>
  <c r="AC11" i="54"/>
  <c r="C8" i="54"/>
  <c r="C7" i="54"/>
  <c r="C6" i="54"/>
  <c r="C5" i="54"/>
  <c r="C4" i="54"/>
  <c r="BI40" i="53"/>
  <c r="BI25" i="53"/>
  <c r="AR25" i="53"/>
  <c r="AQ25" i="53"/>
  <c r="AP25" i="53"/>
  <c r="AO25" i="53"/>
  <c r="AN25" i="53"/>
  <c r="AM25" i="53"/>
  <c r="AL25" i="53"/>
  <c r="AK25" i="53"/>
  <c r="AJ25" i="53"/>
  <c r="AI25" i="53"/>
  <c r="K14" i="53"/>
  <c r="K43" i="53"/>
  <c r="O15" i="53"/>
  <c r="O16" i="53" s="1"/>
  <c r="O17" i="53" s="1"/>
  <c r="O18" i="53" s="1"/>
  <c r="N15" i="53"/>
  <c r="BF15" i="53" s="1"/>
  <c r="BE39" i="53"/>
  <c r="R39" i="53"/>
  <c r="BE38" i="53"/>
  <c r="R38" i="53"/>
  <c r="BE37" i="53"/>
  <c r="R37" i="53"/>
  <c r="M16" i="53"/>
  <c r="M17" i="53" s="1"/>
  <c r="BE36" i="53"/>
  <c r="R36" i="53"/>
  <c r="BE35" i="53"/>
  <c r="R35" i="53"/>
  <c r="BE34" i="53"/>
  <c r="R34" i="53"/>
  <c r="BC41" i="53"/>
  <c r="BE33" i="53"/>
  <c r="R33" i="53"/>
  <c r="BE32" i="53"/>
  <c r="R32" i="53"/>
  <c r="BE31" i="53"/>
  <c r="R31" i="53"/>
  <c r="BE30" i="53"/>
  <c r="R30" i="53"/>
  <c r="BE29" i="53"/>
  <c r="R29" i="53"/>
  <c r="BE28" i="53"/>
  <c r="R28" i="53"/>
  <c r="BE27" i="53"/>
  <c r="R27" i="53"/>
  <c r="BE26" i="53"/>
  <c r="R26" i="53"/>
  <c r="BE24" i="53"/>
  <c r="R24" i="53"/>
  <c r="BE23" i="53"/>
  <c r="R23" i="53"/>
  <c r="BE22" i="53"/>
  <c r="R22" i="53"/>
  <c r="BE21" i="53"/>
  <c r="R21" i="53"/>
  <c r="BE20" i="53"/>
  <c r="R20" i="53"/>
  <c r="BE19" i="53"/>
  <c r="R19" i="53"/>
  <c r="BE18" i="53"/>
  <c r="R18" i="53"/>
  <c r="BE17" i="53"/>
  <c r="R17" i="53"/>
  <c r="BE16" i="53"/>
  <c r="R16" i="53"/>
  <c r="BE15" i="53"/>
  <c r="R15" i="53"/>
  <c r="H15" i="53"/>
  <c r="H16" i="53" s="1"/>
  <c r="H17" i="53" s="1"/>
  <c r="H18" i="53" s="1"/>
  <c r="H19" i="53" s="1"/>
  <c r="H20" i="53" s="1"/>
  <c r="H21" i="53" s="1"/>
  <c r="H22" i="53" s="1"/>
  <c r="H23" i="53" s="1"/>
  <c r="H24" i="53" s="1"/>
  <c r="H26" i="53" s="1"/>
  <c r="H27" i="53" s="1"/>
  <c r="H28" i="53" s="1"/>
  <c r="H29" i="53" s="1"/>
  <c r="H30" i="53" s="1"/>
  <c r="H31" i="53" s="1"/>
  <c r="H32" i="53" s="1"/>
  <c r="H33" i="53" s="1"/>
  <c r="H34" i="53" s="1"/>
  <c r="H35" i="53" s="1"/>
  <c r="H36" i="53" s="1"/>
  <c r="H37" i="53" s="1"/>
  <c r="H38" i="53" s="1"/>
  <c r="H39" i="53" s="1"/>
  <c r="G15" i="53"/>
  <c r="G16" i="53" s="1"/>
  <c r="G17" i="53" s="1"/>
  <c r="G18" i="53" s="1"/>
  <c r="G19" i="53" s="1"/>
  <c r="G20" i="53" s="1"/>
  <c r="G21" i="53" s="1"/>
  <c r="G22" i="53" s="1"/>
  <c r="G23" i="53" s="1"/>
  <c r="G24" i="53" s="1"/>
  <c r="G26" i="53" s="1"/>
  <c r="G27" i="53" s="1"/>
  <c r="G28" i="53" s="1"/>
  <c r="G29" i="53" s="1"/>
  <c r="G30" i="53" s="1"/>
  <c r="G31" i="53" s="1"/>
  <c r="G32" i="53" s="1"/>
  <c r="G33" i="53" s="1"/>
  <c r="G34" i="53" s="1"/>
  <c r="G35" i="53" s="1"/>
  <c r="G36" i="53" s="1"/>
  <c r="G37" i="53" s="1"/>
  <c r="G38" i="53" s="1"/>
  <c r="G39" i="53" s="1"/>
  <c r="F15" i="53"/>
  <c r="F16" i="53" s="1"/>
  <c r="F17" i="53" s="1"/>
  <c r="F18" i="53" s="1"/>
  <c r="F19" i="53" s="1"/>
  <c r="F20" i="53" s="1"/>
  <c r="F21" i="53" s="1"/>
  <c r="F22" i="53" s="1"/>
  <c r="F23" i="53" s="1"/>
  <c r="F24" i="53" s="1"/>
  <c r="F27" i="53" s="1"/>
  <c r="F28" i="53" s="1"/>
  <c r="F29" i="53" s="1"/>
  <c r="F30" i="53" s="1"/>
  <c r="F31" i="53" s="1"/>
  <c r="F32" i="53" s="1"/>
  <c r="F33" i="53" s="1"/>
  <c r="F34" i="53" s="1"/>
  <c r="F35" i="53" s="1"/>
  <c r="F36" i="53" s="1"/>
  <c r="F37" i="53" s="1"/>
  <c r="F38" i="53" s="1"/>
  <c r="F39" i="53" s="1"/>
  <c r="BL14" i="53"/>
  <c r="BG14" i="53"/>
  <c r="BE14" i="53"/>
  <c r="AR14" i="53"/>
  <c r="AQ14" i="53"/>
  <c r="AP14" i="53"/>
  <c r="AO14" i="53"/>
  <c r="AN14" i="53"/>
  <c r="AM14" i="53"/>
  <c r="AL14" i="53"/>
  <c r="AK14" i="53"/>
  <c r="AJ14" i="53"/>
  <c r="AI14" i="53"/>
  <c r="I15" i="53"/>
  <c r="K15" i="53" s="1"/>
  <c r="L15" i="53" s="1"/>
  <c r="BB11" i="53"/>
  <c r="BA11" i="53"/>
  <c r="AZ11" i="53"/>
  <c r="AY11" i="53"/>
  <c r="AX11" i="53"/>
  <c r="AW11" i="53"/>
  <c r="AR11" i="53"/>
  <c r="AQ11" i="53"/>
  <c r="AP11" i="53"/>
  <c r="AO11" i="53"/>
  <c r="AN11" i="53"/>
  <c r="AM11" i="53"/>
  <c r="AH11" i="53"/>
  <c r="AG11" i="53"/>
  <c r="AF11" i="53"/>
  <c r="AE11" i="53"/>
  <c r="AD11" i="53"/>
  <c r="AC11" i="53"/>
  <c r="C8" i="53"/>
  <c r="C7" i="53"/>
  <c r="C6" i="53"/>
  <c r="C5" i="53"/>
  <c r="C4" i="53"/>
  <c r="N18" i="52"/>
  <c r="O15" i="52"/>
  <c r="AN15" i="52" s="1"/>
  <c r="L27" i="52"/>
  <c r="M17" i="52"/>
  <c r="M18" i="52" s="1"/>
  <c r="L18" i="52" s="1"/>
  <c r="AH35" i="52"/>
  <c r="AG35" i="52"/>
  <c r="AF35" i="52"/>
  <c r="AE35" i="52"/>
  <c r="AD35" i="52"/>
  <c r="AC35" i="52"/>
  <c r="AB35" i="52"/>
  <c r="Y35" i="52"/>
  <c r="BC34" i="52"/>
  <c r="R32" i="52"/>
  <c r="L32" i="52"/>
  <c r="BE32" i="52" s="1"/>
  <c r="R31" i="52"/>
  <c r="L31" i="52"/>
  <c r="BE31" i="52" s="1"/>
  <c r="R30" i="52"/>
  <c r="L30" i="52"/>
  <c r="BE30" i="52" s="1"/>
  <c r="R29" i="52"/>
  <c r="L29" i="52"/>
  <c r="BE29" i="52" s="1"/>
  <c r="R28" i="52"/>
  <c r="L28" i="52"/>
  <c r="BE28" i="52" s="1"/>
  <c r="BE27" i="52"/>
  <c r="R27" i="52"/>
  <c r="BE26" i="52"/>
  <c r="R26" i="52"/>
  <c r="BE25" i="52"/>
  <c r="R25" i="52"/>
  <c r="L25" i="52"/>
  <c r="BE24" i="52"/>
  <c r="R24" i="52"/>
  <c r="L24" i="52"/>
  <c r="BE23" i="52"/>
  <c r="R23" i="52"/>
  <c r="L23" i="52"/>
  <c r="BE22" i="52"/>
  <c r="R22" i="52"/>
  <c r="L22" i="52"/>
  <c r="BE21" i="52"/>
  <c r="R21" i="52"/>
  <c r="L21" i="52"/>
  <c r="BE20" i="52"/>
  <c r="R20" i="52"/>
  <c r="L20" i="52"/>
  <c r="BE19" i="52"/>
  <c r="R19" i="52"/>
  <c r="L19" i="52"/>
  <c r="BE18" i="52"/>
  <c r="R18" i="52"/>
  <c r="BE17" i="52"/>
  <c r="R17" i="52"/>
  <c r="BE16" i="52"/>
  <c r="R16" i="52"/>
  <c r="L16" i="52"/>
  <c r="R15" i="52"/>
  <c r="N15" i="52"/>
  <c r="BF15" i="52" s="1"/>
  <c r="L15" i="52"/>
  <c r="BE15" i="52" s="1"/>
  <c r="H15" i="52"/>
  <c r="H16" i="52" s="1"/>
  <c r="H17" i="52" s="1"/>
  <c r="H18" i="52" s="1"/>
  <c r="H19" i="52" s="1"/>
  <c r="H20" i="52" s="1"/>
  <c r="H21" i="52" s="1"/>
  <c r="H22" i="52" s="1"/>
  <c r="H23" i="52" s="1"/>
  <c r="H24" i="52" s="1"/>
  <c r="H25" i="52" s="1"/>
  <c r="H26" i="52" s="1"/>
  <c r="H27" i="52" s="1"/>
  <c r="H28" i="52" s="1"/>
  <c r="H29" i="52" s="1"/>
  <c r="H30" i="52" s="1"/>
  <c r="H31" i="52" s="1"/>
  <c r="H32" i="52" s="1"/>
  <c r="G15" i="52"/>
  <c r="G16" i="52" s="1"/>
  <c r="G17" i="52" s="1"/>
  <c r="G18" i="52" s="1"/>
  <c r="G19" i="52" s="1"/>
  <c r="G20" i="52" s="1"/>
  <c r="G21" i="52" s="1"/>
  <c r="G22" i="52" s="1"/>
  <c r="G23" i="52" s="1"/>
  <c r="G24" i="52" s="1"/>
  <c r="G25" i="52" s="1"/>
  <c r="G26" i="52" s="1"/>
  <c r="G27" i="52" s="1"/>
  <c r="G28" i="52" s="1"/>
  <c r="G29" i="52" s="1"/>
  <c r="G30" i="52" s="1"/>
  <c r="G31" i="52" s="1"/>
  <c r="G32" i="52" s="1"/>
  <c r="F15" i="52"/>
  <c r="F16" i="52" s="1"/>
  <c r="F17" i="52" s="1"/>
  <c r="F18" i="52" s="1"/>
  <c r="F19" i="52" s="1"/>
  <c r="F20" i="52" s="1"/>
  <c r="F21" i="52" s="1"/>
  <c r="F22" i="52" s="1"/>
  <c r="F23" i="52" s="1"/>
  <c r="F24" i="52" s="1"/>
  <c r="F25" i="52" s="1"/>
  <c r="F26" i="52" s="1"/>
  <c r="F27" i="52" s="1"/>
  <c r="F28" i="52" s="1"/>
  <c r="F29" i="52" s="1"/>
  <c r="F30" i="52" s="1"/>
  <c r="F31" i="52" s="1"/>
  <c r="F32" i="52" s="1"/>
  <c r="BL14" i="52"/>
  <c r="BG14" i="52"/>
  <c r="AR14" i="52"/>
  <c r="AQ14" i="52"/>
  <c r="AP14" i="52"/>
  <c r="AO14" i="52"/>
  <c r="AN14" i="52"/>
  <c r="AM14" i="52"/>
  <c r="AL14" i="52"/>
  <c r="AK14" i="52"/>
  <c r="AJ14" i="52"/>
  <c r="AI14" i="52"/>
  <c r="U14" i="52"/>
  <c r="W14" i="52" s="1"/>
  <c r="L14" i="52"/>
  <c r="BC14" i="52" s="1"/>
  <c r="J14" i="52"/>
  <c r="I15" i="52" s="1"/>
  <c r="J15" i="52" s="1"/>
  <c r="I16" i="52" s="1"/>
  <c r="J16" i="52" s="1"/>
  <c r="I17" i="52" s="1"/>
  <c r="J17" i="52" s="1"/>
  <c r="I18" i="52" s="1"/>
  <c r="J18" i="52" s="1"/>
  <c r="I19" i="52" s="1"/>
  <c r="J19" i="52" s="1"/>
  <c r="I20" i="52" s="1"/>
  <c r="J20" i="52" s="1"/>
  <c r="I21" i="52" s="1"/>
  <c r="BB11" i="52"/>
  <c r="BA11" i="52"/>
  <c r="AZ11" i="52"/>
  <c r="AY11" i="52"/>
  <c r="AX11" i="52"/>
  <c r="AW11" i="52"/>
  <c r="AR11" i="52"/>
  <c r="AQ11" i="52"/>
  <c r="AP11" i="52"/>
  <c r="AO11" i="52"/>
  <c r="AN11" i="52"/>
  <c r="AM11" i="52"/>
  <c r="AH11" i="52"/>
  <c r="AG11" i="52"/>
  <c r="AF11" i="52"/>
  <c r="AE11" i="52"/>
  <c r="AD11" i="52"/>
  <c r="AC11" i="52"/>
  <c r="C8" i="52"/>
  <c r="C7" i="52"/>
  <c r="C6" i="52"/>
  <c r="C5" i="52"/>
  <c r="C4" i="52"/>
  <c r="K36" i="51"/>
  <c r="K34" i="51"/>
  <c r="L35" i="51" s="1"/>
  <c r="N17" i="51"/>
  <c r="N15" i="51"/>
  <c r="BF15" i="51" s="1"/>
  <c r="R34" i="51"/>
  <c r="R35" i="51"/>
  <c r="R36" i="51"/>
  <c r="R37" i="51"/>
  <c r="BM34" i="51"/>
  <c r="BE34" i="51"/>
  <c r="BB34" i="51"/>
  <c r="BA34" i="51"/>
  <c r="AZ34" i="51"/>
  <c r="AY34" i="51"/>
  <c r="AX34" i="51"/>
  <c r="AW34" i="51"/>
  <c r="AV34" i="51"/>
  <c r="AU34" i="51"/>
  <c r="AT34" i="51"/>
  <c r="AS34" i="51"/>
  <c r="AR34" i="51"/>
  <c r="AQ34" i="51"/>
  <c r="AP34" i="51"/>
  <c r="AO34" i="51"/>
  <c r="AN34" i="51"/>
  <c r="AM34" i="51"/>
  <c r="AL34" i="51"/>
  <c r="AK34" i="51"/>
  <c r="AJ34" i="51"/>
  <c r="AI34" i="51"/>
  <c r="R33" i="51"/>
  <c r="BM35" i="51"/>
  <c r="BE35" i="51"/>
  <c r="BB35" i="51"/>
  <c r="BA35" i="51"/>
  <c r="AZ35" i="51"/>
  <c r="AY35" i="51"/>
  <c r="AX35" i="51"/>
  <c r="AW35" i="51"/>
  <c r="AV35" i="51"/>
  <c r="AU35" i="51"/>
  <c r="AT35" i="51"/>
  <c r="AS35" i="51"/>
  <c r="AR35" i="51"/>
  <c r="AQ35" i="51"/>
  <c r="AP35" i="51"/>
  <c r="AO35" i="51"/>
  <c r="AN35" i="51"/>
  <c r="AM35" i="51"/>
  <c r="AL35" i="51"/>
  <c r="AK35" i="51"/>
  <c r="AJ35" i="51"/>
  <c r="AI35" i="51"/>
  <c r="R29" i="51"/>
  <c r="R30" i="51"/>
  <c r="R31" i="51"/>
  <c r="R32" i="51"/>
  <c r="K31" i="51"/>
  <c r="L31" i="51" s="1"/>
  <c r="BG31" i="51" s="1"/>
  <c r="BM31" i="51"/>
  <c r="BB31" i="51"/>
  <c r="BA31" i="51"/>
  <c r="AZ31" i="51"/>
  <c r="AY31" i="51"/>
  <c r="AX31" i="51"/>
  <c r="AW31" i="51"/>
  <c r="AV31" i="51"/>
  <c r="AU31" i="51"/>
  <c r="AT31" i="51"/>
  <c r="AS31" i="51"/>
  <c r="AR31" i="51"/>
  <c r="AQ31" i="51"/>
  <c r="AP31" i="51"/>
  <c r="AO31" i="51"/>
  <c r="AN31" i="51"/>
  <c r="AM31" i="51"/>
  <c r="AL31" i="51"/>
  <c r="AK31" i="51"/>
  <c r="AJ31" i="51"/>
  <c r="AI31" i="51"/>
  <c r="K28" i="51"/>
  <c r="BM28" i="51"/>
  <c r="BE28" i="51"/>
  <c r="BB28" i="51"/>
  <c r="BA28" i="51"/>
  <c r="AZ28" i="51"/>
  <c r="AY28" i="51"/>
  <c r="AX28" i="51"/>
  <c r="AW28" i="51"/>
  <c r="AV28" i="51"/>
  <c r="AU28" i="51"/>
  <c r="AT28" i="51"/>
  <c r="AS28" i="51"/>
  <c r="AR28" i="51"/>
  <c r="AQ28" i="51"/>
  <c r="AP28" i="51"/>
  <c r="AO28" i="51"/>
  <c r="AN28" i="51"/>
  <c r="AM28" i="51"/>
  <c r="AL28" i="51"/>
  <c r="AK28" i="51"/>
  <c r="AJ28" i="51"/>
  <c r="AI28" i="51"/>
  <c r="R28" i="51"/>
  <c r="L28" i="51"/>
  <c r="R23" i="51"/>
  <c r="R24" i="51"/>
  <c r="R25" i="51"/>
  <c r="R26" i="51"/>
  <c r="R27" i="51"/>
  <c r="K24" i="51"/>
  <c r="L24" i="51" s="1"/>
  <c r="BM24" i="51"/>
  <c r="BE24" i="51"/>
  <c r="BB24" i="51"/>
  <c r="BA24" i="51"/>
  <c r="AZ24" i="51"/>
  <c r="AY24" i="51"/>
  <c r="AX24" i="51"/>
  <c r="AW24" i="51"/>
  <c r="AV24" i="51"/>
  <c r="AU24" i="51"/>
  <c r="AT24" i="51"/>
  <c r="AS24" i="51"/>
  <c r="AR24" i="51"/>
  <c r="AQ24" i="51"/>
  <c r="AP24" i="51"/>
  <c r="AO24" i="51"/>
  <c r="AN24" i="51"/>
  <c r="AM24" i="51"/>
  <c r="AL24" i="51"/>
  <c r="AK24" i="51"/>
  <c r="AJ24" i="51"/>
  <c r="AI24" i="51"/>
  <c r="K17" i="51"/>
  <c r="R17" i="51"/>
  <c r="R18" i="51"/>
  <c r="R19" i="51"/>
  <c r="R20" i="51"/>
  <c r="R21" i="51"/>
  <c r="R22" i="51"/>
  <c r="K16" i="51"/>
  <c r="L16" i="51" s="1"/>
  <c r="BM16" i="51"/>
  <c r="BE16" i="51"/>
  <c r="BC16" i="51"/>
  <c r="BB16" i="51"/>
  <c r="BA16" i="51"/>
  <c r="AZ16" i="51"/>
  <c r="AY16" i="51"/>
  <c r="AX16" i="51"/>
  <c r="AW16" i="51"/>
  <c r="AV16" i="51"/>
  <c r="AU16" i="51"/>
  <c r="AT16" i="51"/>
  <c r="AS16" i="51"/>
  <c r="AR16" i="51"/>
  <c r="AQ16" i="51"/>
  <c r="AP16" i="51"/>
  <c r="AO16" i="51"/>
  <c r="AN16" i="51"/>
  <c r="AM16" i="51"/>
  <c r="AL16" i="51"/>
  <c r="AK16" i="51"/>
  <c r="AJ16" i="51"/>
  <c r="AI16" i="51"/>
  <c r="R16" i="51"/>
  <c r="J14" i="51"/>
  <c r="I15" i="51" s="1"/>
  <c r="J15" i="51" s="1"/>
  <c r="Z14" i="49"/>
  <c r="Y14" i="49"/>
  <c r="AH40" i="51"/>
  <c r="AG40" i="51"/>
  <c r="AF40" i="51"/>
  <c r="AE40" i="51"/>
  <c r="AD40" i="51"/>
  <c r="AC40" i="51"/>
  <c r="AB40" i="51"/>
  <c r="Y40" i="51"/>
  <c r="BC39" i="51"/>
  <c r="BM37" i="51"/>
  <c r="AR37" i="51"/>
  <c r="AQ37" i="51"/>
  <c r="AP37" i="51"/>
  <c r="AO37" i="51"/>
  <c r="AN37" i="51"/>
  <c r="AM37" i="51"/>
  <c r="AL37" i="51"/>
  <c r="AK37" i="51"/>
  <c r="AJ37" i="51"/>
  <c r="AI37" i="51"/>
  <c r="BM36" i="51"/>
  <c r="AR36" i="51"/>
  <c r="AQ36" i="51"/>
  <c r="AP36" i="51"/>
  <c r="AO36" i="51"/>
  <c r="AN36" i="51"/>
  <c r="AM36" i="51"/>
  <c r="AL36" i="51"/>
  <c r="AK36" i="51"/>
  <c r="AJ36" i="51"/>
  <c r="AI36" i="51"/>
  <c r="BM33" i="51"/>
  <c r="BB33" i="51"/>
  <c r="BA33" i="51"/>
  <c r="AZ33" i="51"/>
  <c r="AY33" i="51"/>
  <c r="AX33" i="51"/>
  <c r="AW33" i="51"/>
  <c r="AV33" i="51"/>
  <c r="AU33" i="51"/>
  <c r="AT33" i="51"/>
  <c r="AS33" i="51"/>
  <c r="AR33" i="51"/>
  <c r="AQ33" i="51"/>
  <c r="AP33" i="51"/>
  <c r="AO33" i="51"/>
  <c r="AN33" i="51"/>
  <c r="AM33" i="51"/>
  <c r="AL33" i="51"/>
  <c r="AK33" i="51"/>
  <c r="AJ33" i="51"/>
  <c r="AI33" i="51"/>
  <c r="BM32" i="51"/>
  <c r="BB32" i="51"/>
  <c r="BA32" i="51"/>
  <c r="AZ32" i="51"/>
  <c r="AY32" i="51"/>
  <c r="AX32" i="51"/>
  <c r="AW32" i="51"/>
  <c r="AV32" i="51"/>
  <c r="AU32" i="51"/>
  <c r="AT32" i="51"/>
  <c r="AS32" i="51"/>
  <c r="AR32" i="51"/>
  <c r="AQ32" i="51"/>
  <c r="AP32" i="51"/>
  <c r="AO32" i="51"/>
  <c r="AN32" i="51"/>
  <c r="AM32" i="51"/>
  <c r="AL32" i="51"/>
  <c r="AK32" i="51"/>
  <c r="AJ32" i="51"/>
  <c r="AI32" i="51"/>
  <c r="BM30" i="51"/>
  <c r="BE30" i="51"/>
  <c r="BB30" i="51"/>
  <c r="BA30" i="51"/>
  <c r="AZ30" i="51"/>
  <c r="AY30" i="51"/>
  <c r="AX30" i="51"/>
  <c r="AW30" i="51"/>
  <c r="AV30" i="51"/>
  <c r="AU30" i="51"/>
  <c r="AT30" i="51"/>
  <c r="AS30" i="51"/>
  <c r="AR30" i="51"/>
  <c r="AQ30" i="51"/>
  <c r="AP30" i="51"/>
  <c r="AO30" i="51"/>
  <c r="AN30" i="51"/>
  <c r="AM30" i="51"/>
  <c r="AL30" i="51"/>
  <c r="AK30" i="51"/>
  <c r="AJ30" i="51"/>
  <c r="AI30" i="51"/>
  <c r="BM29" i="51"/>
  <c r="BE29" i="51"/>
  <c r="BB29" i="51"/>
  <c r="BA29" i="51"/>
  <c r="AZ29" i="51"/>
  <c r="AY29" i="51"/>
  <c r="AX29" i="51"/>
  <c r="AW29" i="51"/>
  <c r="AV29" i="51"/>
  <c r="AU29" i="51"/>
  <c r="AT29" i="51"/>
  <c r="AS29" i="51"/>
  <c r="AR29" i="51"/>
  <c r="AQ29" i="51"/>
  <c r="AP29" i="51"/>
  <c r="AO29" i="51"/>
  <c r="AN29" i="51"/>
  <c r="AM29" i="51"/>
  <c r="AL29" i="51"/>
  <c r="AK29" i="51"/>
  <c r="AJ29" i="51"/>
  <c r="AI29" i="51"/>
  <c r="BM27" i="51"/>
  <c r="BE27" i="51"/>
  <c r="BB27" i="51"/>
  <c r="BA27" i="51"/>
  <c r="AZ27" i="51"/>
  <c r="AY27" i="51"/>
  <c r="AX27" i="51"/>
  <c r="AW27" i="51"/>
  <c r="AV27" i="51"/>
  <c r="AU27" i="51"/>
  <c r="AT27" i="51"/>
  <c r="AS27" i="51"/>
  <c r="AR27" i="51"/>
  <c r="AQ27" i="51"/>
  <c r="AP27" i="51"/>
  <c r="AO27" i="51"/>
  <c r="AN27" i="51"/>
  <c r="AM27" i="51"/>
  <c r="AL27" i="51"/>
  <c r="AK27" i="51"/>
  <c r="AJ27" i="51"/>
  <c r="AI27" i="51"/>
  <c r="BM26" i="51"/>
  <c r="BB26" i="51"/>
  <c r="BA26" i="51"/>
  <c r="AZ26" i="51"/>
  <c r="AY26" i="51"/>
  <c r="AX26" i="51"/>
  <c r="AW26" i="51"/>
  <c r="AV26" i="51"/>
  <c r="AU26" i="51"/>
  <c r="AT26" i="51"/>
  <c r="AS26" i="51"/>
  <c r="AR26" i="51"/>
  <c r="AQ26" i="51"/>
  <c r="AP26" i="51"/>
  <c r="AO26" i="51"/>
  <c r="AN26" i="51"/>
  <c r="AM26" i="51"/>
  <c r="AL26" i="51"/>
  <c r="AK26" i="51"/>
  <c r="AJ26" i="51"/>
  <c r="AI26" i="51"/>
  <c r="BM25" i="51"/>
  <c r="BB25" i="51"/>
  <c r="BA25" i="51"/>
  <c r="AZ25" i="51"/>
  <c r="AY25" i="51"/>
  <c r="AX25" i="51"/>
  <c r="AW25" i="51"/>
  <c r="AV25" i="51"/>
  <c r="AU25" i="51"/>
  <c r="AT25" i="51"/>
  <c r="AS25" i="51"/>
  <c r="AR25" i="51"/>
  <c r="AQ25" i="51"/>
  <c r="AP25" i="51"/>
  <c r="AO25" i="51"/>
  <c r="AN25" i="51"/>
  <c r="AM25" i="51"/>
  <c r="AL25" i="51"/>
  <c r="AK25" i="51"/>
  <c r="AJ25" i="51"/>
  <c r="AI25" i="51"/>
  <c r="L25" i="51"/>
  <c r="BE25" i="51" s="1"/>
  <c r="BM23" i="51"/>
  <c r="BE23" i="51"/>
  <c r="BB23" i="51"/>
  <c r="BA23" i="51"/>
  <c r="AZ23" i="51"/>
  <c r="AY23" i="51"/>
  <c r="AX23" i="51"/>
  <c r="AW23" i="51"/>
  <c r="AV23" i="51"/>
  <c r="AU23" i="51"/>
  <c r="AT23" i="51"/>
  <c r="AS23" i="51"/>
  <c r="AR23" i="51"/>
  <c r="AQ23" i="51"/>
  <c r="AP23" i="51"/>
  <c r="AO23" i="51"/>
  <c r="AN23" i="51"/>
  <c r="AM23" i="51"/>
  <c r="AL23" i="51"/>
  <c r="AK23" i="51"/>
  <c r="AJ23" i="51"/>
  <c r="AI23" i="51"/>
  <c r="BM22" i="51"/>
  <c r="BE22" i="51"/>
  <c r="BB22" i="51"/>
  <c r="BA22" i="51"/>
  <c r="AZ22" i="51"/>
  <c r="AY22" i="51"/>
  <c r="AX22" i="51"/>
  <c r="AW22" i="51"/>
  <c r="AV22" i="51"/>
  <c r="AU22" i="51"/>
  <c r="AT22" i="51"/>
  <c r="AS22" i="51"/>
  <c r="AR22" i="51"/>
  <c r="AQ22" i="51"/>
  <c r="AP22" i="51"/>
  <c r="AO22" i="51"/>
  <c r="AN22" i="51"/>
  <c r="AM22" i="51"/>
  <c r="AL22" i="51"/>
  <c r="AK22" i="51"/>
  <c r="AJ22" i="51"/>
  <c r="AI22" i="51"/>
  <c r="L22" i="51"/>
  <c r="BM21" i="51"/>
  <c r="BE21" i="51"/>
  <c r="BB21" i="51"/>
  <c r="BA21" i="51"/>
  <c r="AZ21" i="51"/>
  <c r="AY21" i="51"/>
  <c r="AX21" i="51"/>
  <c r="AW21" i="51"/>
  <c r="AV21" i="51"/>
  <c r="AU21" i="51"/>
  <c r="AT21" i="51"/>
  <c r="AS21" i="51"/>
  <c r="AR21" i="51"/>
  <c r="AQ21" i="51"/>
  <c r="AP21" i="51"/>
  <c r="AO21" i="51"/>
  <c r="AN21" i="51"/>
  <c r="AM21" i="51"/>
  <c r="AL21" i="51"/>
  <c r="AK21" i="51"/>
  <c r="AJ21" i="51"/>
  <c r="AI21" i="51"/>
  <c r="BM20" i="51"/>
  <c r="BE20" i="51"/>
  <c r="BB20" i="51"/>
  <c r="BA20" i="51"/>
  <c r="AZ20" i="51"/>
  <c r="AY20" i="51"/>
  <c r="AX20" i="51"/>
  <c r="AW20" i="51"/>
  <c r="AV20" i="51"/>
  <c r="AU20" i="51"/>
  <c r="AT20" i="51"/>
  <c r="AS20" i="51"/>
  <c r="AR20" i="51"/>
  <c r="AQ20" i="51"/>
  <c r="AP20" i="51"/>
  <c r="AO20" i="51"/>
  <c r="AN20" i="51"/>
  <c r="AM20" i="51"/>
  <c r="AL20" i="51"/>
  <c r="AK20" i="51"/>
  <c r="AJ20" i="51"/>
  <c r="AI20" i="51"/>
  <c r="L20" i="51"/>
  <c r="BM19" i="51"/>
  <c r="BE19" i="51"/>
  <c r="AR19" i="51"/>
  <c r="AQ19" i="51"/>
  <c r="AP19" i="51"/>
  <c r="AO19" i="51"/>
  <c r="AN19" i="51"/>
  <c r="AM19" i="51"/>
  <c r="AL19" i="51"/>
  <c r="AK19" i="51"/>
  <c r="AJ19" i="51"/>
  <c r="AI19" i="51"/>
  <c r="BM18" i="51"/>
  <c r="BE18" i="51"/>
  <c r="AR18" i="51"/>
  <c r="AQ18" i="51"/>
  <c r="AP18" i="51"/>
  <c r="AO18" i="51"/>
  <c r="AN18" i="51"/>
  <c r="AM18" i="51"/>
  <c r="AL18" i="51"/>
  <c r="AK18" i="51"/>
  <c r="AJ18" i="51"/>
  <c r="AI18" i="51"/>
  <c r="L18" i="51"/>
  <c r="BM17" i="51"/>
  <c r="BE17" i="51"/>
  <c r="AR17" i="51"/>
  <c r="AQ17" i="51"/>
  <c r="AP17" i="51"/>
  <c r="AO17" i="51"/>
  <c r="AN17" i="51"/>
  <c r="AM17" i="51"/>
  <c r="AL17" i="51"/>
  <c r="AK17" i="51"/>
  <c r="AJ17" i="51"/>
  <c r="AI17" i="51"/>
  <c r="BM15" i="51"/>
  <c r="BE15" i="51"/>
  <c r="AR15" i="51"/>
  <c r="AQ15" i="51"/>
  <c r="AP15" i="51"/>
  <c r="AO15" i="51"/>
  <c r="AN15" i="51"/>
  <c r="AM15" i="51"/>
  <c r="AL15" i="51"/>
  <c r="AK15" i="51"/>
  <c r="AJ15" i="51"/>
  <c r="AI15" i="51"/>
  <c r="R15" i="51"/>
  <c r="L15" i="51"/>
  <c r="H15" i="51"/>
  <c r="H16" i="51" s="1"/>
  <c r="H17" i="51" s="1"/>
  <c r="H18" i="51" s="1"/>
  <c r="H19" i="51" s="1"/>
  <c r="H20" i="51" s="1"/>
  <c r="H21" i="51" s="1"/>
  <c r="H22" i="51" s="1"/>
  <c r="H23" i="51" s="1"/>
  <c r="H24" i="51" s="1"/>
  <c r="H25" i="51" s="1"/>
  <c r="H26" i="51" s="1"/>
  <c r="H27" i="51" s="1"/>
  <c r="H28" i="51" s="1"/>
  <c r="H29" i="51" s="1"/>
  <c r="H30" i="51" s="1"/>
  <c r="H31" i="51" s="1"/>
  <c r="H32" i="51" s="1"/>
  <c r="H33" i="51" s="1"/>
  <c r="H34" i="51" s="1"/>
  <c r="H35" i="51" s="1"/>
  <c r="H36" i="51" s="1"/>
  <c r="H37" i="51" s="1"/>
  <c r="G15" i="51"/>
  <c r="G16" i="51" s="1"/>
  <c r="G17" i="51" s="1"/>
  <c r="G18" i="51" s="1"/>
  <c r="G19" i="51" s="1"/>
  <c r="G20" i="51" s="1"/>
  <c r="G21" i="51" s="1"/>
  <c r="G22" i="51" s="1"/>
  <c r="G23" i="51" s="1"/>
  <c r="G24" i="51" s="1"/>
  <c r="G25" i="51" s="1"/>
  <c r="G26" i="51" s="1"/>
  <c r="G27" i="51" s="1"/>
  <c r="G28" i="51" s="1"/>
  <c r="G29" i="51" s="1"/>
  <c r="G30" i="51" s="1"/>
  <c r="G31" i="51" s="1"/>
  <c r="G32" i="51" s="1"/>
  <c r="G33" i="51" s="1"/>
  <c r="G34" i="51" s="1"/>
  <c r="G35" i="51" s="1"/>
  <c r="G36" i="51" s="1"/>
  <c r="G37" i="51" s="1"/>
  <c r="F15" i="51"/>
  <c r="F16" i="51" s="1"/>
  <c r="F17" i="51" s="1"/>
  <c r="F18" i="51" s="1"/>
  <c r="F19" i="51" s="1"/>
  <c r="F20" i="51" s="1"/>
  <c r="F21" i="51" s="1"/>
  <c r="F22" i="51" s="1"/>
  <c r="F23" i="51" s="1"/>
  <c r="F24" i="51" s="1"/>
  <c r="F25" i="51" s="1"/>
  <c r="F26" i="51" s="1"/>
  <c r="F27" i="51" s="1"/>
  <c r="F28" i="51" s="1"/>
  <c r="F29" i="51" s="1"/>
  <c r="F30" i="51" s="1"/>
  <c r="F31" i="51" s="1"/>
  <c r="F32" i="51" s="1"/>
  <c r="F33" i="51" s="1"/>
  <c r="F34" i="51" s="1"/>
  <c r="F35" i="51" s="1"/>
  <c r="F36" i="51" s="1"/>
  <c r="F37" i="51" s="1"/>
  <c r="BL14" i="51"/>
  <c r="BE14" i="51"/>
  <c r="AR14" i="51"/>
  <c r="AQ14" i="51"/>
  <c r="AP14" i="51"/>
  <c r="AO14" i="51"/>
  <c r="AN14" i="51"/>
  <c r="AM14" i="51"/>
  <c r="AL14" i="51"/>
  <c r="AK14" i="51"/>
  <c r="AJ14" i="51"/>
  <c r="AI14" i="51"/>
  <c r="U14" i="51"/>
  <c r="W14" i="51" s="1"/>
  <c r="L14" i="51"/>
  <c r="BB11" i="51"/>
  <c r="BA11" i="51"/>
  <c r="AZ11" i="51"/>
  <c r="AY11" i="51"/>
  <c r="AX11" i="51"/>
  <c r="AW11" i="51"/>
  <c r="AR11" i="51"/>
  <c r="AQ11" i="51"/>
  <c r="AP11" i="51"/>
  <c r="AO11" i="51"/>
  <c r="AN11" i="51"/>
  <c r="AM11" i="51"/>
  <c r="AH11" i="51"/>
  <c r="AG11" i="51"/>
  <c r="AF11" i="51"/>
  <c r="AE11" i="51"/>
  <c r="AD11" i="51"/>
  <c r="AC11" i="51"/>
  <c r="C8" i="51"/>
  <c r="C7" i="51"/>
  <c r="C6" i="51"/>
  <c r="C5" i="51"/>
  <c r="C4" i="51"/>
  <c r="R29" i="49"/>
  <c r="R33" i="49"/>
  <c r="R34" i="49"/>
  <c r="R35" i="49"/>
  <c r="K32" i="49"/>
  <c r="L32" i="49" s="1"/>
  <c r="I33" i="49"/>
  <c r="I34" i="49"/>
  <c r="I35" i="49"/>
  <c r="BL31" i="49"/>
  <c r="BC31" i="49"/>
  <c r="AR31" i="49"/>
  <c r="AQ31" i="49"/>
  <c r="AP31" i="49"/>
  <c r="AO31" i="49"/>
  <c r="AN31" i="49"/>
  <c r="AM31" i="49"/>
  <c r="AL31" i="49"/>
  <c r="AK31" i="49"/>
  <c r="AJ31" i="49"/>
  <c r="AI31" i="49"/>
  <c r="AH31" i="49"/>
  <c r="AG31" i="49"/>
  <c r="AF31" i="49"/>
  <c r="AE31" i="49"/>
  <c r="AD31" i="49"/>
  <c r="AC31" i="49"/>
  <c r="AB31" i="49"/>
  <c r="AA31" i="49"/>
  <c r="Z31" i="49"/>
  <c r="Y31" i="49"/>
  <c r="P31" i="49"/>
  <c r="BD31" i="49" s="1"/>
  <c r="K31" i="49"/>
  <c r="I29" i="49"/>
  <c r="K29" i="49" s="1"/>
  <c r="L29" i="49" s="1"/>
  <c r="BL29" i="49"/>
  <c r="BC29" i="49"/>
  <c r="BB29" i="49"/>
  <c r="BA29" i="49"/>
  <c r="AZ29" i="49"/>
  <c r="AY29" i="49"/>
  <c r="AX29" i="49"/>
  <c r="AW29" i="49"/>
  <c r="AV29" i="49"/>
  <c r="AU29" i="49"/>
  <c r="AT29" i="49"/>
  <c r="AS29" i="49"/>
  <c r="AR29" i="49"/>
  <c r="AQ29" i="49"/>
  <c r="AP29" i="49"/>
  <c r="AO29" i="49"/>
  <c r="AN29" i="49"/>
  <c r="AM29" i="49"/>
  <c r="AL29" i="49"/>
  <c r="AK29" i="49"/>
  <c r="AJ29" i="49"/>
  <c r="AI29" i="49"/>
  <c r="I26" i="49"/>
  <c r="I27" i="49"/>
  <c r="I28" i="49"/>
  <c r="R28" i="49"/>
  <c r="BL32" i="49"/>
  <c r="BK32" i="49"/>
  <c r="AR32" i="49"/>
  <c r="AQ32" i="49"/>
  <c r="AP32" i="49"/>
  <c r="AO32" i="49"/>
  <c r="AN32" i="49"/>
  <c r="AM32" i="49"/>
  <c r="AL32" i="49"/>
  <c r="AK32" i="49"/>
  <c r="AJ32" i="49"/>
  <c r="AI32" i="49"/>
  <c r="AH32" i="49"/>
  <c r="AG32" i="49"/>
  <c r="AF32" i="49"/>
  <c r="AE32" i="49"/>
  <c r="AD32" i="49"/>
  <c r="AC32" i="49"/>
  <c r="AB32" i="49"/>
  <c r="AA32" i="49"/>
  <c r="Z32" i="49"/>
  <c r="Y32" i="49"/>
  <c r="P32" i="49"/>
  <c r="BD32" i="49" s="1"/>
  <c r="R21" i="49"/>
  <c r="R22" i="49"/>
  <c r="R23" i="49"/>
  <c r="R24" i="49"/>
  <c r="R25" i="49"/>
  <c r="R26" i="49"/>
  <c r="R27" i="49"/>
  <c r="R17" i="49"/>
  <c r="R18" i="49"/>
  <c r="R19" i="49"/>
  <c r="R20" i="49"/>
  <c r="R16" i="49"/>
  <c r="I18" i="49"/>
  <c r="K18" i="49" s="1"/>
  <c r="L18" i="49" s="1"/>
  <c r="BC18" i="49" s="1"/>
  <c r="I19" i="49"/>
  <c r="I20" i="49"/>
  <c r="BL18" i="49"/>
  <c r="BK18" i="49"/>
  <c r="BE18" i="49"/>
  <c r="AR18" i="49"/>
  <c r="AQ18" i="49"/>
  <c r="AP18" i="49"/>
  <c r="AO18" i="49"/>
  <c r="AN18" i="49"/>
  <c r="AM18" i="49"/>
  <c r="AL18" i="49"/>
  <c r="AK18" i="49"/>
  <c r="AJ18" i="49"/>
  <c r="AI18" i="49"/>
  <c r="G15" i="49"/>
  <c r="G16" i="49" s="1"/>
  <c r="G17" i="49" s="1"/>
  <c r="G19" i="49" s="1"/>
  <c r="G20" i="49" s="1"/>
  <c r="G21" i="49" s="1"/>
  <c r="G22" i="49" s="1"/>
  <c r="G23" i="49" s="1"/>
  <c r="G24" i="49" s="1"/>
  <c r="G25" i="49" s="1"/>
  <c r="G26" i="49" s="1"/>
  <c r="G27" i="49" s="1"/>
  <c r="G28" i="49" s="1"/>
  <c r="G29" i="49" s="1"/>
  <c r="T14" i="49"/>
  <c r="R14" i="49"/>
  <c r="BL35" i="49"/>
  <c r="AR35" i="49"/>
  <c r="AQ35" i="49"/>
  <c r="AP35" i="49"/>
  <c r="AO35" i="49"/>
  <c r="AN35" i="49"/>
  <c r="AM35" i="49"/>
  <c r="AL35" i="49"/>
  <c r="AK35" i="49"/>
  <c r="AJ35" i="49"/>
  <c r="AI35" i="49"/>
  <c r="AH35" i="49"/>
  <c r="AG35" i="49"/>
  <c r="AF35" i="49"/>
  <c r="AE35" i="49"/>
  <c r="AD35" i="49"/>
  <c r="AC35" i="49"/>
  <c r="AB35" i="49"/>
  <c r="AA35" i="49"/>
  <c r="Z35" i="49"/>
  <c r="Y35" i="49"/>
  <c r="P35" i="49"/>
  <c r="BD35" i="49" s="1"/>
  <c r="BL34" i="49"/>
  <c r="AR34" i="49"/>
  <c r="AQ34" i="49"/>
  <c r="AP34" i="49"/>
  <c r="AO34" i="49"/>
  <c r="AN34" i="49"/>
  <c r="AM34" i="49"/>
  <c r="AL34" i="49"/>
  <c r="AK34" i="49"/>
  <c r="AJ34" i="49"/>
  <c r="AI34" i="49"/>
  <c r="AH34" i="49"/>
  <c r="AG34" i="49"/>
  <c r="AF34" i="49"/>
  <c r="AE34" i="49"/>
  <c r="AD34" i="49"/>
  <c r="AC34" i="49"/>
  <c r="AB34" i="49"/>
  <c r="AA34" i="49"/>
  <c r="Z34" i="49"/>
  <c r="Y34" i="49"/>
  <c r="P34" i="49"/>
  <c r="BD34" i="49" s="1"/>
  <c r="AH38" i="49"/>
  <c r="AG38" i="49"/>
  <c r="AF38" i="49"/>
  <c r="AE38" i="49"/>
  <c r="AD38" i="49"/>
  <c r="AC38" i="49"/>
  <c r="AB38" i="49"/>
  <c r="Y38" i="49"/>
  <c r="BC37" i="49"/>
  <c r="BL33" i="49"/>
  <c r="AR33" i="49"/>
  <c r="AQ33" i="49"/>
  <c r="AP33" i="49"/>
  <c r="AO33" i="49"/>
  <c r="AN33" i="49"/>
  <c r="AM33" i="49"/>
  <c r="AL33" i="49"/>
  <c r="AK33" i="49"/>
  <c r="AJ33" i="49"/>
  <c r="AI33" i="49"/>
  <c r="AH33" i="49"/>
  <c r="AG33" i="49"/>
  <c r="AF33" i="49"/>
  <c r="AE33" i="49"/>
  <c r="AD33" i="49"/>
  <c r="AC33" i="49"/>
  <c r="AB33" i="49"/>
  <c r="AA33" i="49"/>
  <c r="Z33" i="49"/>
  <c r="Y33" i="49"/>
  <c r="P33" i="49"/>
  <c r="BD33" i="49" s="1"/>
  <c r="BL28" i="49"/>
  <c r="AR28" i="49"/>
  <c r="AQ28" i="49"/>
  <c r="AP28" i="49"/>
  <c r="AO28" i="49"/>
  <c r="AN28" i="49"/>
  <c r="AM28" i="49"/>
  <c r="AL28" i="49"/>
  <c r="AK28" i="49"/>
  <c r="AJ28" i="49"/>
  <c r="AI28" i="49"/>
  <c r="BL27" i="49"/>
  <c r="AR27" i="49"/>
  <c r="AQ27" i="49"/>
  <c r="AP27" i="49"/>
  <c r="AO27" i="49"/>
  <c r="AN27" i="49"/>
  <c r="AM27" i="49"/>
  <c r="AL27" i="49"/>
  <c r="AK27" i="49"/>
  <c r="AJ27" i="49"/>
  <c r="AI27" i="49"/>
  <c r="BL26" i="49"/>
  <c r="AR26" i="49"/>
  <c r="AQ26" i="49"/>
  <c r="AP26" i="49"/>
  <c r="AO26" i="49"/>
  <c r="AN26" i="49"/>
  <c r="AM26" i="49"/>
  <c r="AL26" i="49"/>
  <c r="AK26" i="49"/>
  <c r="AJ26" i="49"/>
  <c r="AI26" i="49"/>
  <c r="BL25" i="49"/>
  <c r="BE25" i="49"/>
  <c r="AR25" i="49"/>
  <c r="AQ25" i="49"/>
  <c r="AP25" i="49"/>
  <c r="AO25" i="49"/>
  <c r="AN25" i="49"/>
  <c r="AM25" i="49"/>
  <c r="AL25" i="49"/>
  <c r="AK25" i="49"/>
  <c r="AJ25" i="49"/>
  <c r="AI25" i="49"/>
  <c r="BL24" i="49"/>
  <c r="BE24" i="49"/>
  <c r="BB24" i="49"/>
  <c r="BA24" i="49"/>
  <c r="AZ24" i="49"/>
  <c r="AY24" i="49"/>
  <c r="AX24" i="49"/>
  <c r="AW24" i="49"/>
  <c r="AV24" i="49"/>
  <c r="AU24" i="49"/>
  <c r="AT24" i="49"/>
  <c r="AS24" i="49"/>
  <c r="AR24" i="49"/>
  <c r="AQ24" i="49"/>
  <c r="AP24" i="49"/>
  <c r="AO24" i="49"/>
  <c r="AN24" i="49"/>
  <c r="AM24" i="49"/>
  <c r="AL24" i="49"/>
  <c r="AK24" i="49"/>
  <c r="AJ24" i="49"/>
  <c r="AI24" i="49"/>
  <c r="BL23" i="49"/>
  <c r="BE23" i="49"/>
  <c r="BB23" i="49"/>
  <c r="BA23" i="49"/>
  <c r="AZ23" i="49"/>
  <c r="AY23" i="49"/>
  <c r="AX23" i="49"/>
  <c r="AW23" i="49"/>
  <c r="AV23" i="49"/>
  <c r="AU23" i="49"/>
  <c r="AT23" i="49"/>
  <c r="AS23" i="49"/>
  <c r="AR23" i="49"/>
  <c r="AQ23" i="49"/>
  <c r="AP23" i="49"/>
  <c r="AO23" i="49"/>
  <c r="AN23" i="49"/>
  <c r="AM23" i="49"/>
  <c r="AL23" i="49"/>
  <c r="AK23" i="49"/>
  <c r="AJ23" i="49"/>
  <c r="AI23" i="49"/>
  <c r="BL22" i="49"/>
  <c r="BE22" i="49"/>
  <c r="BB22" i="49"/>
  <c r="BA22" i="49"/>
  <c r="AZ22" i="49"/>
  <c r="AY22" i="49"/>
  <c r="AX22" i="49"/>
  <c r="AW22" i="49"/>
  <c r="AV22" i="49"/>
  <c r="AU22" i="49"/>
  <c r="AT22" i="49"/>
  <c r="AS22" i="49"/>
  <c r="AR22" i="49"/>
  <c r="AQ22" i="49"/>
  <c r="AP22" i="49"/>
  <c r="AO22" i="49"/>
  <c r="AN22" i="49"/>
  <c r="AM22" i="49"/>
  <c r="AL22" i="49"/>
  <c r="AK22" i="49"/>
  <c r="AJ22" i="49"/>
  <c r="AI22" i="49"/>
  <c r="BL21" i="49"/>
  <c r="BE21" i="49"/>
  <c r="BB21" i="49"/>
  <c r="BA21" i="49"/>
  <c r="AZ21" i="49"/>
  <c r="AY21" i="49"/>
  <c r="AX21" i="49"/>
  <c r="AW21" i="49"/>
  <c r="AV21" i="49"/>
  <c r="AU21" i="49"/>
  <c r="AT21" i="49"/>
  <c r="AS21" i="49"/>
  <c r="AR21" i="49"/>
  <c r="AQ21" i="49"/>
  <c r="AP21" i="49"/>
  <c r="AO21" i="49"/>
  <c r="AN21" i="49"/>
  <c r="AM21" i="49"/>
  <c r="AL21" i="49"/>
  <c r="AK21" i="49"/>
  <c r="AJ21" i="49"/>
  <c r="AI21" i="49"/>
  <c r="BL20" i="49"/>
  <c r="BE20" i="49"/>
  <c r="BB20" i="49"/>
  <c r="BA20" i="49"/>
  <c r="AZ20" i="49"/>
  <c r="AY20" i="49"/>
  <c r="AX20" i="49"/>
  <c r="AW20" i="49"/>
  <c r="AV20" i="49"/>
  <c r="AU20" i="49"/>
  <c r="AT20" i="49"/>
  <c r="AS20" i="49"/>
  <c r="AR20" i="49"/>
  <c r="AQ20" i="49"/>
  <c r="AP20" i="49"/>
  <c r="AO20" i="49"/>
  <c r="AN20" i="49"/>
  <c r="AM20" i="49"/>
  <c r="AL20" i="49"/>
  <c r="AK20" i="49"/>
  <c r="AJ20" i="49"/>
  <c r="AI20" i="49"/>
  <c r="BL19" i="49"/>
  <c r="BE19" i="49"/>
  <c r="BB19" i="49"/>
  <c r="BA19" i="49"/>
  <c r="AZ19" i="49"/>
  <c r="AY19" i="49"/>
  <c r="AX19" i="49"/>
  <c r="AW19" i="49"/>
  <c r="AV19" i="49"/>
  <c r="AU19" i="49"/>
  <c r="AT19" i="49"/>
  <c r="AS19" i="49"/>
  <c r="AR19" i="49"/>
  <c r="AQ19" i="49"/>
  <c r="AP19" i="49"/>
  <c r="AO19" i="49"/>
  <c r="AN19" i="49"/>
  <c r="AM19" i="49"/>
  <c r="AL19" i="49"/>
  <c r="AK19" i="49"/>
  <c r="AJ19" i="49"/>
  <c r="AI19" i="49"/>
  <c r="BL17" i="49"/>
  <c r="AR17" i="49"/>
  <c r="AQ17" i="49"/>
  <c r="AP17" i="49"/>
  <c r="AO17" i="49"/>
  <c r="AN17" i="49"/>
  <c r="AM17" i="49"/>
  <c r="AL17" i="49"/>
  <c r="AK17" i="49"/>
  <c r="AJ17" i="49"/>
  <c r="AI17" i="49"/>
  <c r="BL16" i="49"/>
  <c r="AR16" i="49"/>
  <c r="AQ16" i="49"/>
  <c r="AP16" i="49"/>
  <c r="AO16" i="49"/>
  <c r="AN16" i="49"/>
  <c r="AM16" i="49"/>
  <c r="AL16" i="49"/>
  <c r="AK16" i="49"/>
  <c r="AJ16" i="49"/>
  <c r="AI16" i="49"/>
  <c r="BL15" i="49"/>
  <c r="AR15" i="49"/>
  <c r="AQ15" i="49"/>
  <c r="AP15" i="49"/>
  <c r="AO15" i="49"/>
  <c r="AN15" i="49"/>
  <c r="AM15" i="49"/>
  <c r="AL15" i="49"/>
  <c r="AK15" i="49"/>
  <c r="AJ15" i="49"/>
  <c r="AI15" i="49"/>
  <c r="R15" i="49"/>
  <c r="H15" i="49"/>
  <c r="H16" i="49" s="1"/>
  <c r="H17" i="49" s="1"/>
  <c r="H19" i="49" s="1"/>
  <c r="H20" i="49" s="1"/>
  <c r="H21" i="49" s="1"/>
  <c r="H22" i="49" s="1"/>
  <c r="H23" i="49" s="1"/>
  <c r="H24" i="49" s="1"/>
  <c r="H25" i="49" s="1"/>
  <c r="H26" i="49" s="1"/>
  <c r="H27" i="49" s="1"/>
  <c r="H28" i="49" s="1"/>
  <c r="H29" i="49" s="1"/>
  <c r="F15" i="49"/>
  <c r="F16" i="49" s="1"/>
  <c r="F18" i="49" s="1"/>
  <c r="AR14" i="49"/>
  <c r="AQ14" i="49"/>
  <c r="AP14" i="49"/>
  <c r="AO14" i="49"/>
  <c r="AN14" i="49"/>
  <c r="AM14" i="49"/>
  <c r="AL14" i="49"/>
  <c r="AK14" i="49"/>
  <c r="AJ14" i="49"/>
  <c r="AI14" i="49"/>
  <c r="BB11" i="49"/>
  <c r="BA11" i="49"/>
  <c r="AZ11" i="49"/>
  <c r="AY11" i="49"/>
  <c r="AX11" i="49"/>
  <c r="AW11" i="49"/>
  <c r="AR11" i="49"/>
  <c r="AQ11" i="49"/>
  <c r="AP11" i="49"/>
  <c r="AO11" i="49"/>
  <c r="AN11" i="49"/>
  <c r="AM11" i="49"/>
  <c r="AH11" i="49"/>
  <c r="AG11" i="49"/>
  <c r="AF11" i="49"/>
  <c r="AE11" i="49"/>
  <c r="AD11" i="49"/>
  <c r="AC11" i="49"/>
  <c r="C8" i="49"/>
  <c r="C7" i="49"/>
  <c r="C6" i="49"/>
  <c r="C5" i="49"/>
  <c r="C4" i="49"/>
  <c r="J21" i="52" l="1"/>
  <c r="I22" i="52" s="1"/>
  <c r="J22" i="52" s="1"/>
  <c r="I23" i="52" s="1"/>
  <c r="J23" i="52" s="1"/>
  <c r="I24" i="52" s="1"/>
  <c r="J24" i="52" s="1"/>
  <c r="I25" i="52" s="1"/>
  <c r="J25" i="52" s="1"/>
  <c r="I26" i="52" s="1"/>
  <c r="J26" i="52" s="1"/>
  <c r="I27" i="52" s="1"/>
  <c r="J27" i="52" s="1"/>
  <c r="I28" i="52" s="1"/>
  <c r="J28" i="52" s="1"/>
  <c r="I29" i="52" s="1"/>
  <c r="J29" i="52" s="1"/>
  <c r="I30" i="52" s="1"/>
  <c r="J30" i="52" s="1"/>
  <c r="I31" i="52" s="1"/>
  <c r="J31" i="52" s="1"/>
  <c r="I32" i="52" s="1"/>
  <c r="J32" i="52" s="1"/>
  <c r="L26" i="52"/>
  <c r="V14" i="49"/>
  <c r="BE31" i="51"/>
  <c r="BE29" i="49"/>
  <c r="BE14" i="52"/>
  <c r="BE33" i="52" s="1"/>
  <c r="BH18" i="52"/>
  <c r="BF18" i="52"/>
  <c r="AJ15" i="52"/>
  <c r="BL16" i="51"/>
  <c r="BF16" i="51"/>
  <c r="BF28" i="51"/>
  <c r="AR15" i="52"/>
  <c r="BF16" i="54"/>
  <c r="BG16" i="54"/>
  <c r="BH16" i="54"/>
  <c r="BF33" i="54"/>
  <c r="BG33" i="54"/>
  <c r="BH33" i="54"/>
  <c r="K45" i="54"/>
  <c r="BH15" i="53"/>
  <c r="BE25" i="53"/>
  <c r="BM15" i="52"/>
  <c r="L17" i="52"/>
  <c r="BL15" i="52"/>
  <c r="BH15" i="52"/>
  <c r="P51" i="52"/>
  <c r="F636" i="43" s="1"/>
  <c r="P56" i="51"/>
  <c r="F473" i="43" s="1"/>
  <c r="BC15" i="51"/>
  <c r="L34" i="51"/>
  <c r="BF34" i="51" s="1"/>
  <c r="BG17" i="51"/>
  <c r="BH17" i="51"/>
  <c r="BG15" i="51"/>
  <c r="BH15" i="51"/>
  <c r="BL15" i="51"/>
  <c r="H30" i="49"/>
  <c r="H31" i="49" s="1"/>
  <c r="H32" i="49" s="1"/>
  <c r="H33" i="49" s="1"/>
  <c r="H34" i="49" s="1"/>
  <c r="H35" i="49" s="1"/>
  <c r="G30" i="49"/>
  <c r="G31" i="49" s="1"/>
  <c r="G32" i="49" s="1"/>
  <c r="G33" i="49" s="1"/>
  <c r="G34" i="49" s="1"/>
  <c r="G35" i="49" s="1"/>
  <c r="BK29" i="49"/>
  <c r="N34" i="54"/>
  <c r="BF34" i="54" s="1"/>
  <c r="BI33" i="54"/>
  <c r="BJ58" i="54"/>
  <c r="BE40" i="53"/>
  <c r="K53" i="54"/>
  <c r="L53" i="54" s="1"/>
  <c r="K35" i="54"/>
  <c r="L35" i="54" s="1"/>
  <c r="L24" i="54"/>
  <c r="L41" i="54"/>
  <c r="BG41" i="54" s="1"/>
  <c r="L42" i="54"/>
  <c r="L51" i="54"/>
  <c r="K47" i="54"/>
  <c r="L47" i="54" s="1"/>
  <c r="K29" i="54"/>
  <c r="L29" i="54" s="1"/>
  <c r="BE29" i="54" s="1"/>
  <c r="L43" i="54"/>
  <c r="K27" i="54"/>
  <c r="L27" i="54" s="1"/>
  <c r="BE27" i="54" s="1"/>
  <c r="K18" i="54"/>
  <c r="L18" i="54" s="1"/>
  <c r="K50" i="54"/>
  <c r="L50" i="54" s="1"/>
  <c r="L49" i="54"/>
  <c r="K52" i="54"/>
  <c r="L52" i="54" s="1"/>
  <c r="K44" i="54"/>
  <c r="L44" i="54" s="1"/>
  <c r="Q41" i="54"/>
  <c r="L23" i="54"/>
  <c r="L28" i="54"/>
  <c r="BE28" i="54" s="1"/>
  <c r="L15" i="54"/>
  <c r="BI15" i="54" s="1"/>
  <c r="L30" i="54"/>
  <c r="BE30" i="54" s="1"/>
  <c r="L48" i="54"/>
  <c r="O34" i="54"/>
  <c r="K40" i="54"/>
  <c r="L40" i="54" s="1"/>
  <c r="BE40" i="54" s="1"/>
  <c r="K39" i="54"/>
  <c r="L39" i="54" s="1"/>
  <c r="BE39" i="54" s="1"/>
  <c r="L38" i="54"/>
  <c r="BE38" i="54" s="1"/>
  <c r="L45" i="54"/>
  <c r="L46" i="54"/>
  <c r="H25" i="54"/>
  <c r="H26" i="54" s="1"/>
  <c r="H27" i="54" s="1"/>
  <c r="H28" i="54" s="1"/>
  <c r="H29" i="54" s="1"/>
  <c r="H30" i="54" s="1"/>
  <c r="U14" i="54"/>
  <c r="AX15" i="54"/>
  <c r="AI15" i="54"/>
  <c r="AY15" i="54"/>
  <c r="AK15" i="54"/>
  <c r="BA15" i="54"/>
  <c r="AN15" i="54"/>
  <c r="AP15" i="54"/>
  <c r="AQ15" i="54"/>
  <c r="O16" i="54"/>
  <c r="O17" i="54" s="1"/>
  <c r="O18" i="54" s="1"/>
  <c r="O19" i="54" s="1"/>
  <c r="O20" i="54" s="1"/>
  <c r="O21" i="54" s="1"/>
  <c r="O22" i="54" s="1"/>
  <c r="O23" i="54" s="1"/>
  <c r="O24" i="54" s="1"/>
  <c r="O25" i="54" s="1"/>
  <c r="AX25" i="54" s="1"/>
  <c r="AV15" i="54"/>
  <c r="AS15" i="54"/>
  <c r="G25" i="54"/>
  <c r="G26" i="54" s="1"/>
  <c r="G27" i="54" s="1"/>
  <c r="G28" i="54" s="1"/>
  <c r="G29" i="54" s="1"/>
  <c r="G30" i="54" s="1"/>
  <c r="O27" i="54"/>
  <c r="O28" i="54" s="1"/>
  <c r="O29" i="54" s="1"/>
  <c r="O30" i="54" s="1"/>
  <c r="BC16" i="54"/>
  <c r="L16" i="54"/>
  <c r="BI16" i="54" s="1"/>
  <c r="L26" i="54"/>
  <c r="L25" i="54"/>
  <c r="L22" i="54"/>
  <c r="L21" i="54"/>
  <c r="L20" i="54"/>
  <c r="L19" i="54"/>
  <c r="L17" i="54"/>
  <c r="BF17" i="54" s="1"/>
  <c r="BC15" i="54"/>
  <c r="BC14" i="54"/>
  <c r="F36" i="54"/>
  <c r="F37" i="54" s="1"/>
  <c r="F38" i="54" s="1"/>
  <c r="F39" i="54" s="1"/>
  <c r="F40" i="54" s="1"/>
  <c r="F41" i="54" s="1"/>
  <c r="F42" i="54" s="1"/>
  <c r="F43" i="54" s="1"/>
  <c r="F44" i="54" s="1"/>
  <c r="F45" i="54" s="1"/>
  <c r="F46" i="54" s="1"/>
  <c r="F47" i="54" s="1"/>
  <c r="F48" i="54" s="1"/>
  <c r="F49" i="54" s="1"/>
  <c r="F50" i="54" s="1"/>
  <c r="F51" i="54" s="1"/>
  <c r="F52" i="54" s="1"/>
  <c r="F53" i="54" s="1"/>
  <c r="AO15" i="54"/>
  <c r="AW15" i="54"/>
  <c r="AJ15" i="54"/>
  <c r="AR15" i="54"/>
  <c r="AZ15" i="54"/>
  <c r="AL15" i="54"/>
  <c r="AT15" i="54"/>
  <c r="BB15" i="54"/>
  <c r="BN15" i="54"/>
  <c r="AM15" i="54"/>
  <c r="AR15" i="53"/>
  <c r="L14" i="53"/>
  <c r="BC14" i="53" s="1"/>
  <c r="T15" i="53"/>
  <c r="U15" i="53" s="1"/>
  <c r="I16" i="53"/>
  <c r="AJ15" i="53"/>
  <c r="AW18" i="53"/>
  <c r="AO18" i="53"/>
  <c r="BM18" i="53"/>
  <c r="AV18" i="53"/>
  <c r="AN18" i="53"/>
  <c r="AU18" i="53"/>
  <c r="AM18" i="53"/>
  <c r="AQ18" i="53"/>
  <c r="BB18" i="53"/>
  <c r="AT18" i="53"/>
  <c r="AL18" i="53"/>
  <c r="AI18" i="53"/>
  <c r="BA18" i="53"/>
  <c r="AS18" i="53"/>
  <c r="AK18" i="53"/>
  <c r="AY18" i="53"/>
  <c r="AZ18" i="53"/>
  <c r="AR18" i="53"/>
  <c r="AJ18" i="53"/>
  <c r="O19" i="53"/>
  <c r="AN19" i="53" s="1"/>
  <c r="AX18" i="53"/>
  <c r="AP18" i="53"/>
  <c r="BG17" i="53"/>
  <c r="N18" i="53"/>
  <c r="BC17" i="53"/>
  <c r="BC15" i="53"/>
  <c r="AO16" i="53"/>
  <c r="AN16" i="53"/>
  <c r="AM16" i="53"/>
  <c r="BM16" i="53"/>
  <c r="AL16" i="53"/>
  <c r="AK16" i="53"/>
  <c r="AR16" i="53"/>
  <c r="AJ16" i="53"/>
  <c r="AQ16" i="53"/>
  <c r="AI16" i="53"/>
  <c r="AP16" i="53"/>
  <c r="AM15" i="53"/>
  <c r="AN15" i="53"/>
  <c r="AO15" i="53"/>
  <c r="AP15" i="53"/>
  <c r="X14" i="53"/>
  <c r="AI15" i="53"/>
  <c r="AQ15" i="53"/>
  <c r="BG15" i="53"/>
  <c r="AK15" i="53"/>
  <c r="BL15" i="53"/>
  <c r="AL15" i="53"/>
  <c r="BM15" i="53"/>
  <c r="N16" i="52"/>
  <c r="O16" i="52"/>
  <c r="AI16" i="52" s="1"/>
  <c r="AL15" i="52"/>
  <c r="AK15" i="52"/>
  <c r="AM15" i="52"/>
  <c r="AO15" i="52"/>
  <c r="AP15" i="52"/>
  <c r="AI15" i="52"/>
  <c r="AQ15" i="52"/>
  <c r="BC15" i="52"/>
  <c r="T15" i="52"/>
  <c r="W15" i="52" s="1"/>
  <c r="X14" i="52"/>
  <c r="BG15" i="52"/>
  <c r="N18" i="51"/>
  <c r="BF18" i="51" s="1"/>
  <c r="AK38" i="51"/>
  <c r="AM38" i="51"/>
  <c r="BE32" i="49"/>
  <c r="BC32" i="49"/>
  <c r="AI38" i="51"/>
  <c r="AQ38" i="51"/>
  <c r="AO38" i="51"/>
  <c r="I16" i="51"/>
  <c r="J16" i="51" s="1"/>
  <c r="I17" i="51" s="1"/>
  <c r="J17" i="51" s="1"/>
  <c r="L17" i="51"/>
  <c r="BC17" i="51" s="1"/>
  <c r="L19" i="51"/>
  <c r="AJ38" i="51"/>
  <c r="AL38" i="51"/>
  <c r="AN38" i="51"/>
  <c r="AP38" i="51"/>
  <c r="AR38" i="51"/>
  <c r="BC14" i="51"/>
  <c r="X14" i="51"/>
  <c r="T15" i="51"/>
  <c r="U15" i="51" s="1"/>
  <c r="L31" i="49"/>
  <c r="G18" i="49"/>
  <c r="H18" i="49"/>
  <c r="AJ36" i="49"/>
  <c r="AL36" i="49"/>
  <c r="AN36" i="49"/>
  <c r="AP36" i="49"/>
  <c r="AR36" i="49"/>
  <c r="AI36" i="49"/>
  <c r="AK36" i="49"/>
  <c r="AM36" i="49"/>
  <c r="AO36" i="49"/>
  <c r="AQ36" i="49"/>
  <c r="F17" i="49"/>
  <c r="V15" i="53" l="1"/>
  <c r="BM34" i="54"/>
  <c r="O35" i="54"/>
  <c r="O37" i="54" s="1"/>
  <c r="O38" i="54" s="1"/>
  <c r="O39" i="54" s="1"/>
  <c r="O40" i="54" s="1"/>
  <c r="O41" i="54" s="1"/>
  <c r="O42" i="54" s="1"/>
  <c r="O43" i="54" s="1"/>
  <c r="AK43" i="54" s="1"/>
  <c r="BG36" i="49"/>
  <c r="M55" i="49" s="1"/>
  <c r="P55" i="49" s="1"/>
  <c r="P54" i="49" s="1"/>
  <c r="F341" i="43" s="1"/>
  <c r="BC34" i="54"/>
  <c r="V15" i="51"/>
  <c r="V15" i="52"/>
  <c r="N35" i="54"/>
  <c r="BF35" i="54" s="1"/>
  <c r="T16" i="51"/>
  <c r="V16" i="51" s="1"/>
  <c r="W15" i="51"/>
  <c r="BH16" i="52"/>
  <c r="BF16" i="52"/>
  <c r="T16" i="53"/>
  <c r="V16" i="53" s="1"/>
  <c r="W15" i="53"/>
  <c r="L33" i="52"/>
  <c r="BF17" i="52"/>
  <c r="BF17" i="51"/>
  <c r="T15" i="54"/>
  <c r="V15" i="54" s="1"/>
  <c r="X15" i="54" s="1"/>
  <c r="AH15" i="54" s="1"/>
  <c r="W14" i="54"/>
  <c r="X14" i="54" s="1"/>
  <c r="AD14" i="54" s="1"/>
  <c r="AS19" i="53"/>
  <c r="BH18" i="53"/>
  <c r="BG34" i="54"/>
  <c r="BH34" i="54"/>
  <c r="BH36" i="54"/>
  <c r="BC18" i="51"/>
  <c r="BG18" i="51"/>
  <c r="BH18" i="51"/>
  <c r="BI34" i="54"/>
  <c r="BL17" i="51"/>
  <c r="N18" i="54"/>
  <c r="BF18" i="54" s="1"/>
  <c r="BC36" i="54"/>
  <c r="BE31" i="54"/>
  <c r="BM15" i="54"/>
  <c r="Q42" i="54"/>
  <c r="BE41" i="54"/>
  <c r="AI43" i="54"/>
  <c r="AL43" i="54"/>
  <c r="AQ43" i="54"/>
  <c r="AO43" i="54"/>
  <c r="O44" i="54"/>
  <c r="AP44" i="54" s="1"/>
  <c r="AN43" i="54"/>
  <c r="AR43" i="54"/>
  <c r="AP43" i="54"/>
  <c r="AJ43" i="54"/>
  <c r="BM36" i="54"/>
  <c r="L54" i="54"/>
  <c r="N37" i="54"/>
  <c r="BF37" i="54" s="1"/>
  <c r="AV25" i="54"/>
  <c r="BN25" i="54"/>
  <c r="AP25" i="54"/>
  <c r="AQ25" i="54"/>
  <c r="AI25" i="54"/>
  <c r="AY25" i="54"/>
  <c r="BC17" i="54"/>
  <c r="AL25" i="54"/>
  <c r="AT25" i="54"/>
  <c r="AN25" i="54"/>
  <c r="AU25" i="54"/>
  <c r="AZ25" i="54"/>
  <c r="AK25" i="54"/>
  <c r="AS25" i="54"/>
  <c r="AW25" i="54"/>
  <c r="AO25" i="54"/>
  <c r="BA25" i="54"/>
  <c r="AJ25" i="54"/>
  <c r="AM25" i="54"/>
  <c r="BB25" i="54"/>
  <c r="AR25" i="54"/>
  <c r="BM16" i="54"/>
  <c r="L31" i="54"/>
  <c r="BM17" i="54"/>
  <c r="AP26" i="54"/>
  <c r="AO26" i="54"/>
  <c r="AN26" i="54"/>
  <c r="BN26" i="54"/>
  <c r="AL26" i="54"/>
  <c r="AJ26" i="54"/>
  <c r="AI26" i="54"/>
  <c r="AR26" i="54"/>
  <c r="AK26" i="54"/>
  <c r="AQ26" i="54"/>
  <c r="AM26" i="54"/>
  <c r="T16" i="54"/>
  <c r="AY16" i="54"/>
  <c r="AQ16" i="54"/>
  <c r="AI16" i="54"/>
  <c r="AX16" i="54"/>
  <c r="AP16" i="54"/>
  <c r="AS16" i="54"/>
  <c r="AW16" i="54"/>
  <c r="AO16" i="54"/>
  <c r="AV16" i="54"/>
  <c r="AN16" i="54"/>
  <c r="AU16" i="54"/>
  <c r="AM16" i="54"/>
  <c r="BA16" i="54"/>
  <c r="BN16" i="54"/>
  <c r="BB16" i="54"/>
  <c r="AT16" i="54"/>
  <c r="AL16" i="54"/>
  <c r="AK16" i="54"/>
  <c r="AZ16" i="54"/>
  <c r="AR16" i="54"/>
  <c r="AJ16" i="54"/>
  <c r="AZ19" i="53"/>
  <c r="AK19" i="53"/>
  <c r="AI19" i="53"/>
  <c r="BB19" i="53"/>
  <c r="AP19" i="53"/>
  <c r="AO19" i="53"/>
  <c r="AT19" i="53"/>
  <c r="AJ19" i="53"/>
  <c r="AQ19" i="53"/>
  <c r="AW19" i="53"/>
  <c r="AL19" i="53"/>
  <c r="AR19" i="53"/>
  <c r="AX19" i="53"/>
  <c r="AM19" i="53"/>
  <c r="BA19" i="53"/>
  <c r="BM19" i="53"/>
  <c r="AY19" i="53"/>
  <c r="AV19" i="53"/>
  <c r="I17" i="53"/>
  <c r="K16" i="53"/>
  <c r="L16" i="53" s="1"/>
  <c r="BG16" i="53" s="1"/>
  <c r="AE14" i="53"/>
  <c r="AD14" i="53"/>
  <c r="P14" i="53"/>
  <c r="BD14" i="53" s="1"/>
  <c r="AG14" i="53"/>
  <c r="AC14" i="53"/>
  <c r="AB14" i="53"/>
  <c r="AA14" i="53"/>
  <c r="AH14" i="53"/>
  <c r="Z14" i="53"/>
  <c r="Y14" i="53"/>
  <c r="AF14" i="53"/>
  <c r="BG18" i="53"/>
  <c r="O20" i="53"/>
  <c r="O21" i="53" s="1"/>
  <c r="O22" i="53" s="1"/>
  <c r="O23" i="53" s="1"/>
  <c r="O24" i="53" s="1"/>
  <c r="O26" i="53" s="1"/>
  <c r="O27" i="53" s="1"/>
  <c r="AU19" i="53"/>
  <c r="BC18" i="53"/>
  <c r="N19" i="53"/>
  <c r="AY15" i="53"/>
  <c r="AR17" i="53"/>
  <c r="AJ17" i="53"/>
  <c r="AQ17" i="53"/>
  <c r="AI17" i="53"/>
  <c r="AP17" i="53"/>
  <c r="AO17" i="53"/>
  <c r="AN17" i="53"/>
  <c r="AM17" i="53"/>
  <c r="BM17" i="53"/>
  <c r="AL17" i="53"/>
  <c r="AK17" i="53"/>
  <c r="BC16" i="53"/>
  <c r="BL16" i="53"/>
  <c r="AX14" i="53"/>
  <c r="AW14" i="53"/>
  <c r="AV14" i="53"/>
  <c r="AU14" i="53"/>
  <c r="BB14" i="53"/>
  <c r="AT14" i="53"/>
  <c r="BA14" i="53"/>
  <c r="AS14" i="53"/>
  <c r="AZ14" i="53"/>
  <c r="AY14" i="53"/>
  <c r="BB14" i="52"/>
  <c r="AT14" i="52"/>
  <c r="BA14" i="52"/>
  <c r="AS14" i="52"/>
  <c r="AZ14" i="52"/>
  <c r="AV14" i="52"/>
  <c r="AY14" i="52"/>
  <c r="AX14" i="52"/>
  <c r="AU14" i="52"/>
  <c r="AW14" i="52"/>
  <c r="AQ16" i="52"/>
  <c r="AN16" i="52"/>
  <c r="BG16" i="52"/>
  <c r="O17" i="52"/>
  <c r="AM16" i="52"/>
  <c r="AL16" i="52"/>
  <c r="AK16" i="52"/>
  <c r="BL16" i="52"/>
  <c r="AP16" i="52"/>
  <c r="BC16" i="52"/>
  <c r="BM16" i="52"/>
  <c r="AR16" i="52"/>
  <c r="AJ16" i="52"/>
  <c r="AO16" i="52"/>
  <c r="AG14" i="52"/>
  <c r="AE14" i="52"/>
  <c r="AC14" i="52"/>
  <c r="AA14" i="52"/>
  <c r="AH14" i="52"/>
  <c r="Y14" i="52"/>
  <c r="AF14" i="52"/>
  <c r="P14" i="52"/>
  <c r="BD14" i="52" s="1"/>
  <c r="AD14" i="52"/>
  <c r="AB14" i="52"/>
  <c r="Z14" i="52"/>
  <c r="T16" i="52"/>
  <c r="V16" i="52" s="1"/>
  <c r="BL18" i="51"/>
  <c r="N19" i="51"/>
  <c r="BF19" i="51" s="1"/>
  <c r="I18" i="51"/>
  <c r="J18" i="51" s="1"/>
  <c r="I19" i="51" s="1"/>
  <c r="J19" i="51" s="1"/>
  <c r="Z14" i="51"/>
  <c r="AH14" i="51"/>
  <c r="AF14" i="51"/>
  <c r="AD14" i="51"/>
  <c r="AB14" i="51"/>
  <c r="Y14" i="51"/>
  <c r="AG14" i="51"/>
  <c r="AE14" i="51"/>
  <c r="AC14" i="51"/>
  <c r="AA14" i="51"/>
  <c r="P14" i="51"/>
  <c r="BD14" i="51" s="1"/>
  <c r="L21" i="51"/>
  <c r="AI41" i="51"/>
  <c r="BB14" i="51"/>
  <c r="AZ14" i="51"/>
  <c r="AX14" i="51"/>
  <c r="AV14" i="51"/>
  <c r="AT14" i="51"/>
  <c r="BA14" i="51"/>
  <c r="AY14" i="51"/>
  <c r="AW14" i="51"/>
  <c r="AU14" i="51"/>
  <c r="AS14" i="51"/>
  <c r="BE31" i="49"/>
  <c r="BK31" i="49"/>
  <c r="AI39" i="49"/>
  <c r="AG18" i="49"/>
  <c r="AE18" i="49"/>
  <c r="AC18" i="49"/>
  <c r="AA18" i="49"/>
  <c r="Y18" i="49"/>
  <c r="AH18" i="49"/>
  <c r="AF18" i="49"/>
  <c r="AD18" i="49"/>
  <c r="AB18" i="49"/>
  <c r="Z18" i="49"/>
  <c r="P18" i="49"/>
  <c r="BD18" i="49" s="1"/>
  <c r="F19" i="49"/>
  <c r="AM43" i="54" l="1"/>
  <c r="BN43" i="54"/>
  <c r="F543" i="43"/>
  <c r="F502" i="43"/>
  <c r="F71" i="43"/>
  <c r="F20" i="43"/>
  <c r="AR44" i="54"/>
  <c r="BG35" i="54"/>
  <c r="F72" i="43"/>
  <c r="F29" i="43"/>
  <c r="BC35" i="54"/>
  <c r="U16" i="51"/>
  <c r="W16" i="51" s="1"/>
  <c r="X16" i="51" s="1"/>
  <c r="Z16" i="51" s="1"/>
  <c r="AM44" i="54"/>
  <c r="BM35" i="54"/>
  <c r="BI35" i="54"/>
  <c r="BH35" i="54"/>
  <c r="U16" i="54"/>
  <c r="W16" i="54" s="1"/>
  <c r="V16" i="54"/>
  <c r="AI44" i="54"/>
  <c r="X15" i="53"/>
  <c r="AE15" i="53" s="1"/>
  <c r="AZ20" i="53"/>
  <c r="AI20" i="53"/>
  <c r="AN20" i="53"/>
  <c r="N20" i="53"/>
  <c r="BC20" i="53" s="1"/>
  <c r="BH19" i="53"/>
  <c r="BG18" i="54"/>
  <c r="BH18" i="54"/>
  <c r="BI18" i="54"/>
  <c r="BI37" i="54"/>
  <c r="BG37" i="54"/>
  <c r="BH37" i="54"/>
  <c r="BG19" i="51"/>
  <c r="BH19" i="51"/>
  <c r="AO44" i="54"/>
  <c r="BN44" i="54"/>
  <c r="AN44" i="54"/>
  <c r="BM18" i="54"/>
  <c r="A14" i="53"/>
  <c r="AS20" i="53"/>
  <c r="AV20" i="53"/>
  <c r="A14" i="52"/>
  <c r="A14" i="51"/>
  <c r="AK44" i="54"/>
  <c r="N19" i="54"/>
  <c r="BF19" i="54" s="1"/>
  <c r="O45" i="54"/>
  <c r="AM45" i="54" s="1"/>
  <c r="AL44" i="54"/>
  <c r="BC18" i="54"/>
  <c r="BE42" i="54"/>
  <c r="Q43" i="54"/>
  <c r="AJ44" i="54"/>
  <c r="AQ44" i="54"/>
  <c r="BM37" i="54"/>
  <c r="AA14" i="54"/>
  <c r="P14" i="54"/>
  <c r="BD14" i="54" s="1"/>
  <c r="AG14" i="54"/>
  <c r="AF14" i="54"/>
  <c r="N38" i="54"/>
  <c r="BF38" i="54" s="1"/>
  <c r="BC37" i="54"/>
  <c r="AC14" i="54"/>
  <c r="AE14" i="54"/>
  <c r="AH14" i="54"/>
  <c r="Z14" i="54"/>
  <c r="AB14" i="54"/>
  <c r="Y14" i="54"/>
  <c r="AF15" i="54"/>
  <c r="Z15" i="54"/>
  <c r="AA15" i="54"/>
  <c r="AC15" i="54"/>
  <c r="P15" i="54"/>
  <c r="BD15" i="54" s="1"/>
  <c r="AK27" i="54"/>
  <c r="AR27" i="54"/>
  <c r="AJ27" i="54"/>
  <c r="AQ27" i="54"/>
  <c r="AI27" i="54"/>
  <c r="AO27" i="54"/>
  <c r="AN27" i="54"/>
  <c r="AM27" i="54"/>
  <c r="AL27" i="54"/>
  <c r="AP27" i="54"/>
  <c r="BN27" i="54"/>
  <c r="Y15" i="54"/>
  <c r="AG15" i="54"/>
  <c r="AD15" i="54"/>
  <c r="AE15" i="54"/>
  <c r="AB15" i="54"/>
  <c r="BN17" i="54"/>
  <c r="BB17" i="54"/>
  <c r="AT17" i="54"/>
  <c r="AL17" i="54"/>
  <c r="BA17" i="54"/>
  <c r="AS17" i="54"/>
  <c r="AK17" i="54"/>
  <c r="AN17" i="54"/>
  <c r="AZ17" i="54"/>
  <c r="AR17" i="54"/>
  <c r="AJ17" i="54"/>
  <c r="AY17" i="54"/>
  <c r="AQ17" i="54"/>
  <c r="AI17" i="54"/>
  <c r="AX17" i="54"/>
  <c r="AP17" i="54"/>
  <c r="AV17" i="54"/>
  <c r="AW17" i="54"/>
  <c r="AO17" i="54"/>
  <c r="AU17" i="54"/>
  <c r="AM17" i="54"/>
  <c r="BA20" i="53"/>
  <c r="BM20" i="53"/>
  <c r="AM20" i="53"/>
  <c r="AR20" i="53"/>
  <c r="AX20" i="53"/>
  <c r="U16" i="53"/>
  <c r="W16" i="53" s="1"/>
  <c r="K17" i="53"/>
  <c r="L17" i="53" s="1"/>
  <c r="BF17" i="53" s="1"/>
  <c r="AX15" i="53"/>
  <c r="AQ20" i="53"/>
  <c r="AL20" i="53"/>
  <c r="AY20" i="53"/>
  <c r="AT20" i="53"/>
  <c r="AW20" i="53"/>
  <c r="AO20" i="53"/>
  <c r="AJ20" i="53"/>
  <c r="BB20" i="53"/>
  <c r="AP20" i="53"/>
  <c r="AK20" i="53"/>
  <c r="AU20" i="53"/>
  <c r="BC19" i="53"/>
  <c r="BG19" i="53"/>
  <c r="BG28" i="53"/>
  <c r="BL28" i="53"/>
  <c r="BC28" i="53"/>
  <c r="AP27" i="53"/>
  <c r="AJ27" i="53"/>
  <c r="AO27" i="53"/>
  <c r="AN27" i="53"/>
  <c r="AM27" i="53"/>
  <c r="BM27" i="53"/>
  <c r="AL27" i="53"/>
  <c r="AK27" i="53"/>
  <c r="AR27" i="53"/>
  <c r="O28" i="53"/>
  <c r="AQ27" i="53"/>
  <c r="AI27" i="53"/>
  <c r="BA15" i="53"/>
  <c r="AZ15" i="53"/>
  <c r="AU15" i="53"/>
  <c r="AW15" i="53"/>
  <c r="AV15" i="53"/>
  <c r="AS15" i="53"/>
  <c r="AT15" i="53"/>
  <c r="BB15" i="53"/>
  <c r="AT16" i="53"/>
  <c r="BA21" i="53"/>
  <c r="AS21" i="53"/>
  <c r="AK21" i="53"/>
  <c r="AZ21" i="53"/>
  <c r="AR21" i="53"/>
  <c r="AJ21" i="53"/>
  <c r="AY21" i="53"/>
  <c r="AQ21" i="53"/>
  <c r="AI21" i="53"/>
  <c r="AX21" i="53"/>
  <c r="AP21" i="53"/>
  <c r="AW21" i="53"/>
  <c r="AO21" i="53"/>
  <c r="AV21" i="53"/>
  <c r="AN21" i="53"/>
  <c r="AU21" i="53"/>
  <c r="AM21" i="53"/>
  <c r="AT21" i="53"/>
  <c r="AL21" i="53"/>
  <c r="BM21" i="53"/>
  <c r="BB21" i="53"/>
  <c r="X15" i="52"/>
  <c r="AO17" i="52"/>
  <c r="AR17" i="52"/>
  <c r="AP17" i="52"/>
  <c r="AN17" i="52"/>
  <c r="AM17" i="52"/>
  <c r="BM17" i="52"/>
  <c r="AJ17" i="52"/>
  <c r="AQ17" i="52"/>
  <c r="AI17" i="52"/>
  <c r="AL17" i="52"/>
  <c r="AK17" i="52"/>
  <c r="BC17" i="52"/>
  <c r="BG17" i="52"/>
  <c r="BL17" i="52"/>
  <c r="AD15" i="52"/>
  <c r="AB15" i="52"/>
  <c r="AH15" i="52"/>
  <c r="Z15" i="52"/>
  <c r="P15" i="52"/>
  <c r="BD15" i="52" s="1"/>
  <c r="AF15" i="52"/>
  <c r="AG15" i="52"/>
  <c r="AE15" i="52"/>
  <c r="AC15" i="52"/>
  <c r="AA15" i="52"/>
  <c r="Y15" i="52"/>
  <c r="U16" i="52"/>
  <c r="W16" i="52" s="1"/>
  <c r="BL19" i="51"/>
  <c r="N20" i="51"/>
  <c r="BF20" i="51" s="1"/>
  <c r="BC19" i="51"/>
  <c r="X15" i="51"/>
  <c r="AC15" i="51" s="1"/>
  <c r="I20" i="51"/>
  <c r="J20" i="51" s="1"/>
  <c r="I21" i="51" s="1"/>
  <c r="J21" i="51" s="1"/>
  <c r="L23" i="51"/>
  <c r="BA15" i="51"/>
  <c r="AY15" i="51"/>
  <c r="AW15" i="51"/>
  <c r="AU15" i="51"/>
  <c r="AS15" i="51"/>
  <c r="BB15" i="51"/>
  <c r="AZ15" i="51"/>
  <c r="AX15" i="51"/>
  <c r="AV15" i="51"/>
  <c r="AT15" i="51"/>
  <c r="F20" i="49"/>
  <c r="T17" i="54" l="1"/>
  <c r="V17" i="54" s="1"/>
  <c r="AR45" i="54"/>
  <c r="F493" i="43"/>
  <c r="F494" i="43"/>
  <c r="F501" i="43"/>
  <c r="F544" i="43"/>
  <c r="F558" i="43"/>
  <c r="F560" i="43"/>
  <c r="F27" i="43"/>
  <c r="F28" i="43"/>
  <c r="F21" i="43"/>
  <c r="F74" i="43"/>
  <c r="F95" i="43"/>
  <c r="F94" i="43"/>
  <c r="F92" i="43"/>
  <c r="F73" i="43"/>
  <c r="T17" i="51"/>
  <c r="U17" i="51" s="1"/>
  <c r="AA15" i="53"/>
  <c r="AG15" i="53"/>
  <c r="Y15" i="53"/>
  <c r="P15" i="53"/>
  <c r="BD15" i="53" s="1"/>
  <c r="AH15" i="53"/>
  <c r="AB15" i="53"/>
  <c r="Z15" i="53"/>
  <c r="AF15" i="53"/>
  <c r="AD15" i="53"/>
  <c r="AC15" i="53"/>
  <c r="BG20" i="53"/>
  <c r="N21" i="53"/>
  <c r="BC21" i="53" s="1"/>
  <c r="BH20" i="53"/>
  <c r="AO45" i="54"/>
  <c r="O46" i="54"/>
  <c r="AK46" i="54" s="1"/>
  <c r="AP45" i="54"/>
  <c r="BG38" i="54"/>
  <c r="BH38" i="54"/>
  <c r="AJ45" i="54"/>
  <c r="BG19" i="54"/>
  <c r="BH19" i="54"/>
  <c r="BI19" i="54"/>
  <c r="AL45" i="54"/>
  <c r="AK45" i="54"/>
  <c r="AQ45" i="54"/>
  <c r="BG20" i="51"/>
  <c r="BH20" i="51"/>
  <c r="AI45" i="54"/>
  <c r="BN45" i="54"/>
  <c r="BI38" i="54"/>
  <c r="AN45" i="54"/>
  <c r="N20" i="54"/>
  <c r="BF20" i="54" s="1"/>
  <c r="BM19" i="54"/>
  <c r="BC19" i="54"/>
  <c r="A14" i="54"/>
  <c r="A15" i="54"/>
  <c r="BE43" i="54"/>
  <c r="Q44" i="54"/>
  <c r="AI46" i="54"/>
  <c r="N39" i="54"/>
  <c r="BF39" i="54" s="1"/>
  <c r="BM38" i="54"/>
  <c r="BC38" i="54"/>
  <c r="X16" i="54"/>
  <c r="AA16" i="54" s="1"/>
  <c r="AN28" i="54"/>
  <c r="AM28" i="54"/>
  <c r="BN28" i="54"/>
  <c r="AL28" i="54"/>
  <c r="AR28" i="54"/>
  <c r="AJ28" i="54"/>
  <c r="AO28" i="54"/>
  <c r="AP28" i="54"/>
  <c r="AK28" i="54"/>
  <c r="AI28" i="54"/>
  <c r="AQ28" i="54"/>
  <c r="U17" i="54"/>
  <c r="W17" i="54" s="1"/>
  <c r="AX18" i="54"/>
  <c r="AP18" i="54"/>
  <c r="AV18" i="54"/>
  <c r="AN18" i="54"/>
  <c r="AU18" i="54"/>
  <c r="AM18" i="54"/>
  <c r="BA18" i="54"/>
  <c r="AS18" i="54"/>
  <c r="AK18" i="54"/>
  <c r="AQ18" i="54"/>
  <c r="AO18" i="54"/>
  <c r="BN18" i="54"/>
  <c r="BB18" i="54"/>
  <c r="AL18" i="54"/>
  <c r="AZ18" i="54"/>
  <c r="AJ18" i="54"/>
  <c r="AY18" i="54"/>
  <c r="AI18" i="54"/>
  <c r="AW18" i="54"/>
  <c r="AT18" i="54"/>
  <c r="AR18" i="54"/>
  <c r="X16" i="53"/>
  <c r="P16" i="53" s="1"/>
  <c r="BD16" i="53" s="1"/>
  <c r="T17" i="53"/>
  <c r="V17" i="53" s="1"/>
  <c r="BL17" i="53"/>
  <c r="I18" i="53"/>
  <c r="BA16" i="53"/>
  <c r="O29" i="53"/>
  <c r="AM28" i="53"/>
  <c r="AR28" i="53"/>
  <c r="AN28" i="53"/>
  <c r="AI28" i="53"/>
  <c r="AL28" i="53"/>
  <c r="AK28" i="53"/>
  <c r="BM28" i="53"/>
  <c r="AQ28" i="53"/>
  <c r="AJ28" i="53"/>
  <c r="AP28" i="53"/>
  <c r="AO28" i="53"/>
  <c r="N30" i="53"/>
  <c r="BC29" i="53"/>
  <c r="BG29" i="53"/>
  <c r="AW16" i="53"/>
  <c r="AX16" i="53"/>
  <c r="AU16" i="53"/>
  <c r="BB16" i="53"/>
  <c r="AZ16" i="53"/>
  <c r="AV16" i="53"/>
  <c r="AY16" i="53"/>
  <c r="AS16" i="53"/>
  <c r="AV22" i="53"/>
  <c r="AN22" i="53"/>
  <c r="AU22" i="53"/>
  <c r="AM22" i="53"/>
  <c r="BM22" i="53"/>
  <c r="BB22" i="53"/>
  <c r="AT22" i="53"/>
  <c r="AL22" i="53"/>
  <c r="BA22" i="53"/>
  <c r="AS22" i="53"/>
  <c r="AK22" i="53"/>
  <c r="AZ22" i="53"/>
  <c r="AR22" i="53"/>
  <c r="AJ22" i="53"/>
  <c r="AY22" i="53"/>
  <c r="AQ22" i="53"/>
  <c r="AI22" i="53"/>
  <c r="AX22" i="53"/>
  <c r="AP22" i="53"/>
  <c r="AW22" i="53"/>
  <c r="AO22" i="53"/>
  <c r="AV15" i="52"/>
  <c r="AS15" i="52"/>
  <c r="AZ15" i="52"/>
  <c r="AY15" i="52"/>
  <c r="AU15" i="52"/>
  <c r="AW15" i="52"/>
  <c r="AT15" i="52"/>
  <c r="BB15" i="52"/>
  <c r="AX15" i="52"/>
  <c r="BA15" i="52"/>
  <c r="AQ18" i="52"/>
  <c r="AL18" i="52"/>
  <c r="BA18" i="52"/>
  <c r="AW18" i="52"/>
  <c r="AI18" i="52"/>
  <c r="BM18" i="52"/>
  <c r="AK18" i="52"/>
  <c r="AX18" i="52"/>
  <c r="AV18" i="52"/>
  <c r="AU18" i="52"/>
  <c r="AZ18" i="52"/>
  <c r="AP18" i="52"/>
  <c r="AN18" i="52"/>
  <c r="AR18" i="52"/>
  <c r="BB18" i="52"/>
  <c r="AT18" i="52"/>
  <c r="AJ18" i="52"/>
  <c r="O19" i="52"/>
  <c r="AS18" i="52"/>
  <c r="AY18" i="52"/>
  <c r="AO18" i="52"/>
  <c r="AM18" i="52"/>
  <c r="N19" i="52"/>
  <c r="BL18" i="52"/>
  <c r="BG18" i="52"/>
  <c r="BC18" i="52"/>
  <c r="X16" i="52"/>
  <c r="T17" i="52"/>
  <c r="V17" i="52" s="1"/>
  <c r="N21" i="51"/>
  <c r="BF21" i="51" s="1"/>
  <c r="BC20" i="51"/>
  <c r="BL20" i="51"/>
  <c r="AE15" i="51"/>
  <c r="AB15" i="51"/>
  <c r="AD15" i="51"/>
  <c r="AG15" i="51"/>
  <c r="AH15" i="51"/>
  <c r="AF15" i="51"/>
  <c r="P15" i="51"/>
  <c r="BD15" i="51" s="1"/>
  <c r="AA15" i="51"/>
  <c r="Y15" i="51"/>
  <c r="Z15" i="51"/>
  <c r="AF16" i="51"/>
  <c r="AG16" i="51"/>
  <c r="AD16" i="51"/>
  <c r="AH16" i="51"/>
  <c r="AA16" i="51"/>
  <c r="Y16" i="51"/>
  <c r="AB16" i="51"/>
  <c r="AE16" i="51"/>
  <c r="P16" i="51"/>
  <c r="BD16" i="51" s="1"/>
  <c r="AC16" i="51"/>
  <c r="I22" i="51"/>
  <c r="J22" i="51" s="1"/>
  <c r="I23" i="51" s="1"/>
  <c r="L26" i="51"/>
  <c r="BE26" i="51" s="1"/>
  <c r="F21" i="49"/>
  <c r="BN46" i="54" l="1"/>
  <c r="AM46" i="54"/>
  <c r="AP46" i="54"/>
  <c r="AQ46" i="54"/>
  <c r="AJ46" i="54"/>
  <c r="AN46" i="54"/>
  <c r="AO46" i="54"/>
  <c r="O47" i="54"/>
  <c r="AK47" i="54" s="1"/>
  <c r="F500" i="43"/>
  <c r="F545" i="43"/>
  <c r="F76" i="43"/>
  <c r="AR46" i="54"/>
  <c r="AL46" i="54"/>
  <c r="F75" i="43"/>
  <c r="V17" i="51"/>
  <c r="BH19" i="52"/>
  <c r="BF19" i="52"/>
  <c r="T18" i="51"/>
  <c r="V18" i="51" s="1"/>
  <c r="W17" i="51"/>
  <c r="A15" i="53"/>
  <c r="BG21" i="53"/>
  <c r="AB16" i="53"/>
  <c r="BH30" i="53"/>
  <c r="N22" i="53"/>
  <c r="BG22" i="53" s="1"/>
  <c r="BH21" i="53"/>
  <c r="A15" i="52"/>
  <c r="X17" i="51"/>
  <c r="AD17" i="51" s="1"/>
  <c r="BG39" i="54"/>
  <c r="BH39" i="54"/>
  <c r="BG20" i="54"/>
  <c r="BH20" i="54"/>
  <c r="BI20" i="54"/>
  <c r="BG21" i="51"/>
  <c r="BH21" i="51"/>
  <c r="A15" i="51"/>
  <c r="BI39" i="54"/>
  <c r="AD16" i="53"/>
  <c r="AC16" i="53"/>
  <c r="Z16" i="53"/>
  <c r="A16" i="51"/>
  <c r="N21" i="54"/>
  <c r="BF21" i="54" s="1"/>
  <c r="BM20" i="54"/>
  <c r="BC20" i="54"/>
  <c r="BE44" i="54"/>
  <c r="Q45" i="54"/>
  <c r="AH16" i="53"/>
  <c r="AF16" i="53"/>
  <c r="Y16" i="53"/>
  <c r="AA16" i="53"/>
  <c r="AG16" i="53"/>
  <c r="N40" i="54"/>
  <c r="BF40" i="54" s="1"/>
  <c r="BC39" i="54"/>
  <c r="BM39" i="54"/>
  <c r="AJ47" i="54"/>
  <c r="AC16" i="54"/>
  <c r="Z16" i="54"/>
  <c r="AH16" i="54"/>
  <c r="AE16" i="54"/>
  <c r="AG16" i="54"/>
  <c r="Y16" i="54"/>
  <c r="AD16" i="54"/>
  <c r="AF16" i="54"/>
  <c r="AB16" i="54"/>
  <c r="P16" i="54"/>
  <c r="BD16" i="54" s="1"/>
  <c r="AQ29" i="54"/>
  <c r="AI29" i="54"/>
  <c r="AP29" i="54"/>
  <c r="AO29" i="54"/>
  <c r="AM29" i="54"/>
  <c r="AR29" i="54"/>
  <c r="AJ29" i="54"/>
  <c r="BN29" i="54"/>
  <c r="AN29" i="54"/>
  <c r="AL29" i="54"/>
  <c r="AK29" i="54"/>
  <c r="BA19" i="54"/>
  <c r="AS19" i="54"/>
  <c r="AK19" i="54"/>
  <c r="AY19" i="54"/>
  <c r="AQ19" i="54"/>
  <c r="AI19" i="54"/>
  <c r="AX19" i="54"/>
  <c r="AP19" i="54"/>
  <c r="AV19" i="54"/>
  <c r="AN19" i="54"/>
  <c r="AW19" i="54"/>
  <c r="AU19" i="54"/>
  <c r="BN19" i="54"/>
  <c r="AT19" i="54"/>
  <c r="BB19" i="54"/>
  <c r="AR19" i="54"/>
  <c r="AO19" i="54"/>
  <c r="AM19" i="54"/>
  <c r="AZ19" i="54"/>
  <c r="AJ19" i="54"/>
  <c r="AL19" i="54"/>
  <c r="T18" i="54"/>
  <c r="V18" i="54" s="1"/>
  <c r="X17" i="54"/>
  <c r="AE16" i="53"/>
  <c r="U17" i="53"/>
  <c r="W17" i="53" s="1"/>
  <c r="L18" i="53"/>
  <c r="BF18" i="53" s="1"/>
  <c r="N31" i="53"/>
  <c r="BG30" i="53"/>
  <c r="BC30" i="53"/>
  <c r="AI29" i="53"/>
  <c r="O30" i="53"/>
  <c r="AO29" i="53"/>
  <c r="AL29" i="53"/>
  <c r="AK29" i="53"/>
  <c r="AN29" i="53"/>
  <c r="AP29" i="53"/>
  <c r="AR29" i="53"/>
  <c r="AM29" i="53"/>
  <c r="AJ29" i="53"/>
  <c r="BM29" i="53"/>
  <c r="AQ29" i="53"/>
  <c r="AW17" i="53"/>
  <c r="AS17" i="53"/>
  <c r="AT17" i="53"/>
  <c r="AZ17" i="53"/>
  <c r="AX17" i="53"/>
  <c r="BB17" i="53"/>
  <c r="AY17" i="53"/>
  <c r="AU17" i="53"/>
  <c r="BA17" i="53"/>
  <c r="AV17" i="53"/>
  <c r="AY23" i="53"/>
  <c r="AQ23" i="53"/>
  <c r="AI23" i="53"/>
  <c r="AX23" i="53"/>
  <c r="AP23" i="53"/>
  <c r="AW23" i="53"/>
  <c r="AO23" i="53"/>
  <c r="AV23" i="53"/>
  <c r="AN23" i="53"/>
  <c r="AU23" i="53"/>
  <c r="AM23" i="53"/>
  <c r="BM23" i="53"/>
  <c r="BB23" i="53"/>
  <c r="AT23" i="53"/>
  <c r="AL23" i="53"/>
  <c r="BA23" i="53"/>
  <c r="AS23" i="53"/>
  <c r="AK23" i="53"/>
  <c r="AZ23" i="53"/>
  <c r="AR23" i="53"/>
  <c r="AJ23" i="53"/>
  <c r="AU16" i="52"/>
  <c r="AX16" i="52"/>
  <c r="AS16" i="52"/>
  <c r="AW16" i="52"/>
  <c r="AY16" i="52"/>
  <c r="AT16" i="52"/>
  <c r="AV16" i="52"/>
  <c r="BB16" i="52"/>
  <c r="AZ16" i="52"/>
  <c r="BA16" i="52"/>
  <c r="N20" i="52"/>
  <c r="BC19" i="52"/>
  <c r="BG19" i="52"/>
  <c r="BL19" i="52"/>
  <c r="AQ19" i="52"/>
  <c r="AO19" i="52"/>
  <c r="AU19" i="52"/>
  <c r="AV19" i="52"/>
  <c r="AI19" i="52"/>
  <c r="AL19" i="52"/>
  <c r="AM19" i="52"/>
  <c r="AR19" i="52"/>
  <c r="AS19" i="52"/>
  <c r="BA19" i="52"/>
  <c r="AN19" i="52"/>
  <c r="AX19" i="52"/>
  <c r="O20" i="52"/>
  <c r="AZ19" i="52"/>
  <c r="AP19" i="52"/>
  <c r="BM19" i="52"/>
  <c r="AK19" i="52"/>
  <c r="AY19" i="52"/>
  <c r="AW19" i="52"/>
  <c r="AT19" i="52"/>
  <c r="BB19" i="52"/>
  <c r="AJ19" i="52"/>
  <c r="AH16" i="52"/>
  <c r="Z16" i="52"/>
  <c r="P16" i="52"/>
  <c r="BD16" i="52" s="1"/>
  <c r="AF16" i="52"/>
  <c r="AE16" i="52"/>
  <c r="AD16" i="52"/>
  <c r="AB16" i="52"/>
  <c r="AG16" i="52"/>
  <c r="AC16" i="52"/>
  <c r="AA16" i="52"/>
  <c r="Y16" i="52"/>
  <c r="U17" i="52"/>
  <c r="W17" i="52" s="1"/>
  <c r="BC21" i="51"/>
  <c r="N22" i="51"/>
  <c r="BF22" i="51" s="1"/>
  <c r="BL21" i="51"/>
  <c r="J23" i="51"/>
  <c r="I24" i="51" s="1"/>
  <c r="J24" i="51" s="1"/>
  <c r="BB17" i="51"/>
  <c r="AZ17" i="51"/>
  <c r="AX17" i="51"/>
  <c r="AV17" i="51"/>
  <c r="BA17" i="51"/>
  <c r="AY17" i="51"/>
  <c r="AW17" i="51"/>
  <c r="AU17" i="51"/>
  <c r="AS17" i="51"/>
  <c r="AT17" i="51"/>
  <c r="F22" i="49"/>
  <c r="AN47" i="54" l="1"/>
  <c r="AO47" i="54"/>
  <c r="AQ47" i="54"/>
  <c r="AR47" i="54"/>
  <c r="AI47" i="54"/>
  <c r="O48" i="54"/>
  <c r="O49" i="54" s="1"/>
  <c r="AP47" i="54"/>
  <c r="BN47" i="54"/>
  <c r="AL47" i="54"/>
  <c r="AM47" i="54"/>
  <c r="BC22" i="53"/>
  <c r="AH17" i="51"/>
  <c r="BH20" i="52"/>
  <c r="BF20" i="52"/>
  <c r="U18" i="51"/>
  <c r="BH31" i="53"/>
  <c r="N23" i="53"/>
  <c r="BC23" i="53" s="1"/>
  <c r="BH22" i="53"/>
  <c r="A16" i="52"/>
  <c r="Y17" i="51"/>
  <c r="AA17" i="51"/>
  <c r="Z17" i="51"/>
  <c r="AF17" i="51"/>
  <c r="AE17" i="51"/>
  <c r="AC17" i="51"/>
  <c r="AG17" i="51"/>
  <c r="AB17" i="51"/>
  <c r="P17" i="51"/>
  <c r="BD17" i="51" s="1"/>
  <c r="BG40" i="54"/>
  <c r="BH40" i="54"/>
  <c r="BG21" i="54"/>
  <c r="BH21" i="54"/>
  <c r="BI21" i="54"/>
  <c r="BG22" i="51"/>
  <c r="BH22" i="51"/>
  <c r="BI40" i="54"/>
  <c r="A16" i="53"/>
  <c r="N22" i="54"/>
  <c r="BF22" i="54" s="1"/>
  <c r="BC21" i="54"/>
  <c r="BM21" i="54"/>
  <c r="A16" i="54"/>
  <c r="BE45" i="54"/>
  <c r="Q46" i="54"/>
  <c r="AJ48" i="54"/>
  <c r="AK48" i="54"/>
  <c r="AQ48" i="54"/>
  <c r="AO48" i="54"/>
  <c r="AP48" i="54"/>
  <c r="AR48" i="54"/>
  <c r="BC40" i="54"/>
  <c r="BM40" i="54"/>
  <c r="BM28" i="54"/>
  <c r="BC28" i="54"/>
  <c r="BN30" i="54"/>
  <c r="AL30" i="54"/>
  <c r="AK30" i="54"/>
  <c r="AR30" i="54"/>
  <c r="AJ30" i="54"/>
  <c r="AP30" i="54"/>
  <c r="AM30" i="54"/>
  <c r="AQ30" i="54"/>
  <c r="AO30" i="54"/>
  <c r="AN30" i="54"/>
  <c r="AI30" i="54"/>
  <c r="AA17" i="54"/>
  <c r="AH17" i="54"/>
  <c r="AC17" i="54"/>
  <c r="AG17" i="54"/>
  <c r="AD17" i="54"/>
  <c r="Y17" i="54"/>
  <c r="AF17" i="54"/>
  <c r="AB17" i="54"/>
  <c r="Z17" i="54"/>
  <c r="AE17" i="54"/>
  <c r="P17" i="54"/>
  <c r="BD17" i="54" s="1"/>
  <c r="U18" i="54"/>
  <c r="W18" i="54" s="1"/>
  <c r="AV20" i="54"/>
  <c r="AN20" i="54"/>
  <c r="BN20" i="54"/>
  <c r="BB20" i="54"/>
  <c r="AT20" i="54"/>
  <c r="AL20" i="54"/>
  <c r="BA20" i="54"/>
  <c r="AS20" i="54"/>
  <c r="AK20" i="54"/>
  <c r="AY20" i="54"/>
  <c r="AQ20" i="54"/>
  <c r="AI20" i="54"/>
  <c r="AM20" i="54"/>
  <c r="AZ20" i="54"/>
  <c r="AJ20" i="54"/>
  <c r="AX20" i="54"/>
  <c r="AW20" i="54"/>
  <c r="AU20" i="54"/>
  <c r="AP20" i="54"/>
  <c r="AR20" i="54"/>
  <c r="AO20" i="54"/>
  <c r="T18" i="53"/>
  <c r="V18" i="53" s="1"/>
  <c r="X17" i="53"/>
  <c r="BL18" i="53"/>
  <c r="I19" i="53"/>
  <c r="K19" i="53" s="1"/>
  <c r="N32" i="53"/>
  <c r="BC31" i="53"/>
  <c r="BG31" i="53"/>
  <c r="O31" i="53"/>
  <c r="AM30" i="53"/>
  <c r="AR30" i="53"/>
  <c r="AP30" i="53"/>
  <c r="AJ30" i="53"/>
  <c r="AL30" i="53"/>
  <c r="AO30" i="53"/>
  <c r="AK30" i="53"/>
  <c r="AQ30" i="53"/>
  <c r="BM30" i="53"/>
  <c r="AI30" i="53"/>
  <c r="AN30" i="53"/>
  <c r="BM24" i="53"/>
  <c r="BB24" i="53"/>
  <c r="BB25" i="53" s="1"/>
  <c r="AT24" i="53"/>
  <c r="AT25" i="53" s="1"/>
  <c r="AL24" i="53"/>
  <c r="BA24" i="53"/>
  <c r="BA25" i="53" s="1"/>
  <c r="AS24" i="53"/>
  <c r="AS25" i="53" s="1"/>
  <c r="AK24" i="53"/>
  <c r="AZ24" i="53"/>
  <c r="AZ25" i="53" s="1"/>
  <c r="AR24" i="53"/>
  <c r="AJ24" i="53"/>
  <c r="AY24" i="53"/>
  <c r="AY25" i="53" s="1"/>
  <c r="AQ24" i="53"/>
  <c r="AI24" i="53"/>
  <c r="AX24" i="53"/>
  <c r="AX25" i="53" s="1"/>
  <c r="AP24" i="53"/>
  <c r="AW24" i="53"/>
  <c r="AW25" i="53" s="1"/>
  <c r="AO24" i="53"/>
  <c r="AV24" i="53"/>
  <c r="AV25" i="53" s="1"/>
  <c r="AN24" i="53"/>
  <c r="AU24" i="53"/>
  <c r="AU25" i="53" s="1"/>
  <c r="AM24" i="53"/>
  <c r="N21" i="52"/>
  <c r="BG20" i="52"/>
  <c r="BC20" i="52"/>
  <c r="BL20" i="52"/>
  <c r="AQ20" i="52"/>
  <c r="BM20" i="52"/>
  <c r="AL20" i="52"/>
  <c r="AI20" i="52"/>
  <c r="AV20" i="52"/>
  <c r="AK20" i="52"/>
  <c r="AY20" i="52"/>
  <c r="BA20" i="52"/>
  <c r="AN20" i="52"/>
  <c r="AM20" i="52"/>
  <c r="AX20" i="52"/>
  <c r="BB20" i="52"/>
  <c r="AT20" i="52"/>
  <c r="AZ20" i="52"/>
  <c r="AP20" i="52"/>
  <c r="AS20" i="52"/>
  <c r="AR20" i="52"/>
  <c r="AW20" i="52"/>
  <c r="O21" i="52"/>
  <c r="AJ20" i="52"/>
  <c r="AO20" i="52"/>
  <c r="AU20" i="52"/>
  <c r="X17" i="52"/>
  <c r="T18" i="52"/>
  <c r="V18" i="52" s="1"/>
  <c r="BC22" i="51"/>
  <c r="N23" i="51"/>
  <c r="BF23" i="51" s="1"/>
  <c r="BL22" i="51"/>
  <c r="I25" i="51"/>
  <c r="J25" i="51" s="1"/>
  <c r="F23" i="49"/>
  <c r="AM48" i="54" l="1"/>
  <c r="AN48" i="54"/>
  <c r="BN48" i="54"/>
  <c r="AI48" i="54"/>
  <c r="AL48" i="54"/>
  <c r="BG23" i="53"/>
  <c r="T19" i="51"/>
  <c r="V19" i="51" s="1"/>
  <c r="W18" i="51"/>
  <c r="X18" i="51" s="1"/>
  <c r="AB18" i="51" s="1"/>
  <c r="BH21" i="52"/>
  <c r="BF21" i="52"/>
  <c r="BH32" i="53"/>
  <c r="N24" i="53"/>
  <c r="BG24" i="53" s="1"/>
  <c r="BG25" i="53" s="1"/>
  <c r="BH23" i="53"/>
  <c r="A17" i="51"/>
  <c r="BG22" i="54"/>
  <c r="BH22" i="54"/>
  <c r="BI22" i="54"/>
  <c r="BG23" i="51"/>
  <c r="BH23" i="51"/>
  <c r="N23" i="54"/>
  <c r="BF23" i="54" s="1"/>
  <c r="BC22" i="54"/>
  <c r="BM22" i="54"/>
  <c r="A17" i="54"/>
  <c r="Q47" i="54"/>
  <c r="BE46" i="54"/>
  <c r="N42" i="54"/>
  <c r="BF42" i="54" s="1"/>
  <c r="BC41" i="54"/>
  <c r="BM41" i="54"/>
  <c r="O50" i="54"/>
  <c r="AN49" i="54"/>
  <c r="AK49" i="54"/>
  <c r="AO49" i="54"/>
  <c r="AR49" i="54"/>
  <c r="AM49" i="54"/>
  <c r="AQ49" i="54"/>
  <c r="AI49" i="54"/>
  <c r="BN49" i="54"/>
  <c r="AL49" i="54"/>
  <c r="AP49" i="54"/>
  <c r="AJ49" i="54"/>
  <c r="AY21" i="54"/>
  <c r="AQ21" i="54"/>
  <c r="AI21" i="54"/>
  <c r="AW21" i="54"/>
  <c r="AO21" i="54"/>
  <c r="AV21" i="54"/>
  <c r="AN21" i="54"/>
  <c r="BN21" i="54"/>
  <c r="BB21" i="54"/>
  <c r="AT21" i="54"/>
  <c r="AL21" i="54"/>
  <c r="AU21" i="54"/>
  <c r="AS21" i="54"/>
  <c r="AZ21" i="54"/>
  <c r="AR21" i="54"/>
  <c r="AP21" i="54"/>
  <c r="AM21" i="54"/>
  <c r="AJ21" i="54"/>
  <c r="BA21" i="54"/>
  <c r="AK21" i="54"/>
  <c r="AX21" i="54"/>
  <c r="X18" i="54"/>
  <c r="T19" i="54"/>
  <c r="V19" i="54" s="1"/>
  <c r="AB17" i="53"/>
  <c r="AG17" i="53"/>
  <c r="AC17" i="53"/>
  <c r="AD17" i="53"/>
  <c r="Z17" i="53"/>
  <c r="AH17" i="53"/>
  <c r="Y17" i="53"/>
  <c r="AA17" i="53"/>
  <c r="AF17" i="53"/>
  <c r="AE17" i="53"/>
  <c r="P17" i="53"/>
  <c r="BD17" i="53" s="1"/>
  <c r="I20" i="53"/>
  <c r="L19" i="53"/>
  <c r="BF19" i="53" s="1"/>
  <c r="N33" i="53"/>
  <c r="BG32" i="53"/>
  <c r="P70" i="53" s="1"/>
  <c r="P69" i="53" s="1"/>
  <c r="F900" i="43" s="1"/>
  <c r="BC32" i="53"/>
  <c r="O32" i="53"/>
  <c r="AK31" i="53"/>
  <c r="AP31" i="53"/>
  <c r="AN31" i="53"/>
  <c r="AR31" i="53"/>
  <c r="AM31" i="53"/>
  <c r="AJ31" i="53"/>
  <c r="BM31" i="53"/>
  <c r="AQ31" i="53"/>
  <c r="AO31" i="53"/>
  <c r="AL31" i="53"/>
  <c r="AI31" i="53"/>
  <c r="AW26" i="53"/>
  <c r="AO26" i="53"/>
  <c r="AV26" i="53"/>
  <c r="AN26" i="53"/>
  <c r="AU26" i="53"/>
  <c r="AM26" i="53"/>
  <c r="BM26" i="53"/>
  <c r="BB26" i="53"/>
  <c r="AT26" i="53"/>
  <c r="AL26" i="53"/>
  <c r="BA26" i="53"/>
  <c r="AS26" i="53"/>
  <c r="AK26" i="53"/>
  <c r="AZ26" i="53"/>
  <c r="AR26" i="53"/>
  <c r="AJ26" i="53"/>
  <c r="AY26" i="53"/>
  <c r="AQ26" i="53"/>
  <c r="AI26" i="53"/>
  <c r="AX26" i="53"/>
  <c r="AP26" i="53"/>
  <c r="AZ17" i="52"/>
  <c r="AY17" i="52"/>
  <c r="AX17" i="52"/>
  <c r="AS17" i="52"/>
  <c r="AV17" i="52"/>
  <c r="AU17" i="52"/>
  <c r="AT17" i="52"/>
  <c r="BA17" i="52"/>
  <c r="AW17" i="52"/>
  <c r="BB17" i="52"/>
  <c r="N22" i="52"/>
  <c r="BL21" i="52"/>
  <c r="BG21" i="52"/>
  <c r="BC21" i="52"/>
  <c r="AQ21" i="52"/>
  <c r="AT21" i="52"/>
  <c r="O22" i="52"/>
  <c r="BM21" i="52"/>
  <c r="AI21" i="52"/>
  <c r="AK21" i="52"/>
  <c r="AX21" i="52"/>
  <c r="AZ21" i="52"/>
  <c r="AP21" i="52"/>
  <c r="AV21" i="52"/>
  <c r="AY21" i="52"/>
  <c r="AR21" i="52"/>
  <c r="AL21" i="52"/>
  <c r="AN21" i="52"/>
  <c r="AM21" i="52"/>
  <c r="AJ21" i="52"/>
  <c r="AS21" i="52"/>
  <c r="BB21" i="52"/>
  <c r="BA21" i="52"/>
  <c r="AW21" i="52"/>
  <c r="AU21" i="52"/>
  <c r="AO21" i="52"/>
  <c r="U18" i="52"/>
  <c r="W18" i="52" s="1"/>
  <c r="AC17" i="52"/>
  <c r="AA17" i="52"/>
  <c r="AH17" i="52"/>
  <c r="Z17" i="52"/>
  <c r="P17" i="52"/>
  <c r="BD17" i="52" s="1"/>
  <c r="AG17" i="52"/>
  <c r="Y17" i="52"/>
  <c r="AE17" i="52"/>
  <c r="AF17" i="52"/>
  <c r="AD17" i="52"/>
  <c r="AB17" i="52"/>
  <c r="BC23" i="51"/>
  <c r="BL23" i="51"/>
  <c r="I26" i="51"/>
  <c r="J26" i="51" s="1"/>
  <c r="AH18" i="51"/>
  <c r="BB18" i="51"/>
  <c r="AZ18" i="51"/>
  <c r="AX18" i="51"/>
  <c r="AV18" i="51"/>
  <c r="AT18" i="51"/>
  <c r="BA18" i="51"/>
  <c r="AY18" i="51"/>
  <c r="AW18" i="51"/>
  <c r="AU18" i="51"/>
  <c r="AS18" i="51"/>
  <c r="F24" i="49"/>
  <c r="P18" i="51" l="1"/>
  <c r="BD18" i="51" s="1"/>
  <c r="U19" i="51"/>
  <c r="W19" i="51" s="1"/>
  <c r="X19" i="51" s="1"/>
  <c r="AG18" i="51"/>
  <c r="Z18" i="51"/>
  <c r="Y18" i="51"/>
  <c r="AA18" i="51"/>
  <c r="AD18" i="51"/>
  <c r="AE18" i="51"/>
  <c r="AF18" i="51"/>
  <c r="T20" i="51"/>
  <c r="V20" i="51" s="1"/>
  <c r="AC18" i="51"/>
  <c r="BH22" i="52"/>
  <c r="BF22" i="52"/>
  <c r="BC24" i="53"/>
  <c r="BC25" i="53" s="1"/>
  <c r="BH33" i="53"/>
  <c r="N26" i="53"/>
  <c r="BH24" i="53"/>
  <c r="BH25" i="53" s="1"/>
  <c r="BG23" i="54"/>
  <c r="BH23" i="54"/>
  <c r="BI23" i="54"/>
  <c r="BH42" i="54"/>
  <c r="BG42" i="54"/>
  <c r="BI42" i="54"/>
  <c r="A17" i="53"/>
  <c r="A17" i="52"/>
  <c r="N24" i="54"/>
  <c r="BF24" i="54" s="1"/>
  <c r="BC23" i="54"/>
  <c r="BM23" i="54"/>
  <c r="Q48" i="54"/>
  <c r="BE47" i="54"/>
  <c r="O51" i="54"/>
  <c r="AJ50" i="54"/>
  <c r="BN50" i="54"/>
  <c r="AL50" i="54"/>
  <c r="AI50" i="54"/>
  <c r="AM50" i="54"/>
  <c r="AQ50" i="54"/>
  <c r="AO50" i="54"/>
  <c r="AK50" i="54"/>
  <c r="AP50" i="54"/>
  <c r="AN50" i="54"/>
  <c r="AR50" i="54"/>
  <c r="N43" i="54"/>
  <c r="BF43" i="54" s="1"/>
  <c r="BC42" i="54"/>
  <c r="BM42" i="54"/>
  <c r="AB18" i="54"/>
  <c r="AG18" i="54"/>
  <c r="P18" i="54"/>
  <c r="BD18" i="54" s="1"/>
  <c r="Z18" i="54"/>
  <c r="AE18" i="54"/>
  <c r="AF18" i="54"/>
  <c r="AD18" i="54"/>
  <c r="AH18" i="54"/>
  <c r="AA18" i="54"/>
  <c r="Y18" i="54"/>
  <c r="AC18" i="54"/>
  <c r="BN22" i="54"/>
  <c r="BB22" i="54"/>
  <c r="AT22" i="54"/>
  <c r="AL22" i="54"/>
  <c r="AZ22" i="54"/>
  <c r="AR22" i="54"/>
  <c r="AJ22" i="54"/>
  <c r="AY22" i="54"/>
  <c r="AQ22" i="54"/>
  <c r="AI22" i="54"/>
  <c r="AW22" i="54"/>
  <c r="AO22" i="54"/>
  <c r="AM22" i="54"/>
  <c r="BA22" i="54"/>
  <c r="AK22" i="54"/>
  <c r="AX22" i="54"/>
  <c r="AV22" i="54"/>
  <c r="AU22" i="54"/>
  <c r="AS22" i="54"/>
  <c r="AP22" i="54"/>
  <c r="AN22" i="54"/>
  <c r="BM32" i="54"/>
  <c r="BC32" i="54"/>
  <c r="X18" i="53"/>
  <c r="T19" i="53"/>
  <c r="V19" i="53" s="1"/>
  <c r="K20" i="53"/>
  <c r="L20" i="53" s="1"/>
  <c r="BF20" i="53" s="1"/>
  <c r="BL19" i="53"/>
  <c r="O33" i="53"/>
  <c r="AI32" i="53"/>
  <c r="AK32" i="53"/>
  <c r="AN32" i="53"/>
  <c r="AP32" i="53"/>
  <c r="AR32" i="53"/>
  <c r="AM32" i="53"/>
  <c r="AJ32" i="53"/>
  <c r="BM32" i="53"/>
  <c r="AO32" i="53"/>
  <c r="AL32" i="53"/>
  <c r="AQ32" i="53"/>
  <c r="N34" i="53"/>
  <c r="BC33" i="53"/>
  <c r="BG33" i="53"/>
  <c r="N23" i="52"/>
  <c r="BC22" i="52"/>
  <c r="BL22" i="52"/>
  <c r="BG22" i="52"/>
  <c r="AI22" i="52"/>
  <c r="BA22" i="52"/>
  <c r="AK22" i="52"/>
  <c r="AV22" i="52"/>
  <c r="AS22" i="52"/>
  <c r="BM22" i="52"/>
  <c r="AX22" i="52"/>
  <c r="AZ22" i="52"/>
  <c r="AP22" i="52"/>
  <c r="AN22" i="52"/>
  <c r="AR22" i="52"/>
  <c r="AT22" i="52"/>
  <c r="BB22" i="52"/>
  <c r="AL22" i="52"/>
  <c r="AJ22" i="52"/>
  <c r="AW22" i="52"/>
  <c r="AU22" i="52"/>
  <c r="AQ22" i="52"/>
  <c r="O23" i="52"/>
  <c r="AY22" i="52"/>
  <c r="AO22" i="52"/>
  <c r="AM22" i="52"/>
  <c r="X18" i="52"/>
  <c r="T19" i="52"/>
  <c r="V19" i="52" s="1"/>
  <c r="BL24" i="51"/>
  <c r="N25" i="51"/>
  <c r="BF25" i="51" s="1"/>
  <c r="BC24" i="51"/>
  <c r="I27" i="51"/>
  <c r="J27" i="51" s="1"/>
  <c r="F25" i="49"/>
  <c r="I8" i="43"/>
  <c r="A18" i="51" l="1"/>
  <c r="BH23" i="52"/>
  <c r="BF23" i="52"/>
  <c r="BG26" i="53"/>
  <c r="BC26" i="53"/>
  <c r="BH34" i="53"/>
  <c r="N27" i="53"/>
  <c r="BG27" i="53" s="1"/>
  <c r="BH26" i="53"/>
  <c r="BH43" i="54"/>
  <c r="BG43" i="54"/>
  <c r="BG24" i="54"/>
  <c r="BH24" i="54"/>
  <c r="BI24" i="54"/>
  <c r="BG25" i="51"/>
  <c r="BH25" i="51"/>
  <c r="F8" i="54"/>
  <c r="F8" i="53"/>
  <c r="F8" i="52"/>
  <c r="BI43" i="54"/>
  <c r="N25" i="54"/>
  <c r="BF25" i="54" s="1"/>
  <c r="BC24" i="54"/>
  <c r="BM24" i="54"/>
  <c r="A18" i="54"/>
  <c r="Q49" i="54"/>
  <c r="BE48" i="54"/>
  <c r="N44" i="54"/>
  <c r="BF44" i="54" s="1"/>
  <c r="BC43" i="54"/>
  <c r="BM43" i="54"/>
  <c r="O52" i="54"/>
  <c r="O53" i="54" s="1"/>
  <c r="BN51" i="54"/>
  <c r="AR51" i="54"/>
  <c r="AL51" i="54"/>
  <c r="AQ51" i="54"/>
  <c r="AN51" i="54"/>
  <c r="AI51" i="54"/>
  <c r="AK51" i="54"/>
  <c r="AP51" i="54"/>
  <c r="AO51" i="54"/>
  <c r="AJ51" i="54"/>
  <c r="AM51" i="54"/>
  <c r="T20" i="54"/>
  <c r="V20" i="54" s="1"/>
  <c r="X19" i="54"/>
  <c r="BC33" i="54"/>
  <c r="BM33" i="54"/>
  <c r="AW23" i="54"/>
  <c r="AO23" i="54"/>
  <c r="AU23" i="54"/>
  <c r="AM23" i="54"/>
  <c r="BN23" i="54"/>
  <c r="BB23" i="54"/>
  <c r="AT23" i="54"/>
  <c r="AL23" i="54"/>
  <c r="AZ23" i="54"/>
  <c r="AR23" i="54"/>
  <c r="AJ23" i="54"/>
  <c r="AV23" i="54"/>
  <c r="AI23" i="54"/>
  <c r="AS23" i="54"/>
  <c r="AY23" i="54"/>
  <c r="AQ23" i="54"/>
  <c r="AP23" i="54"/>
  <c r="AN23" i="54"/>
  <c r="BA23" i="54"/>
  <c r="AK23" i="54"/>
  <c r="AX23" i="54"/>
  <c r="P18" i="53"/>
  <c r="BD18" i="53" s="1"/>
  <c r="AH18" i="53"/>
  <c r="AE18" i="53"/>
  <c r="AG18" i="53"/>
  <c r="AD18" i="53"/>
  <c r="Y18" i="53"/>
  <c r="AC18" i="53"/>
  <c r="AF18" i="53"/>
  <c r="AB18" i="53"/>
  <c r="AA18" i="53"/>
  <c r="Z18" i="53"/>
  <c r="BL20" i="53"/>
  <c r="I21" i="53"/>
  <c r="N35" i="53"/>
  <c r="BC34" i="53"/>
  <c r="BG34" i="53"/>
  <c r="O34" i="53"/>
  <c r="AL33" i="53"/>
  <c r="AI33" i="53"/>
  <c r="AN33" i="53"/>
  <c r="AK33" i="53"/>
  <c r="AP33" i="53"/>
  <c r="AM33" i="53"/>
  <c r="AR33" i="53"/>
  <c r="AO33" i="53"/>
  <c r="AQ33" i="53"/>
  <c r="AJ33" i="53"/>
  <c r="BM33" i="53"/>
  <c r="AQ23" i="52"/>
  <c r="AT23" i="52"/>
  <c r="AS23" i="52"/>
  <c r="AX23" i="52"/>
  <c r="AI23" i="52"/>
  <c r="BM23" i="52"/>
  <c r="O24" i="52"/>
  <c r="AL23" i="52"/>
  <c r="AV23" i="52"/>
  <c r="AN23" i="52"/>
  <c r="AZ23" i="52"/>
  <c r="AP23" i="52"/>
  <c r="BB23" i="52"/>
  <c r="AY23" i="52"/>
  <c r="AR23" i="52"/>
  <c r="BA23" i="52"/>
  <c r="AK23" i="52"/>
  <c r="AO23" i="52"/>
  <c r="AJ23" i="52"/>
  <c r="AW23" i="52"/>
  <c r="AU23" i="52"/>
  <c r="AM23" i="52"/>
  <c r="N24" i="52"/>
  <c r="BG23" i="52"/>
  <c r="BC23" i="52"/>
  <c r="BL23" i="52"/>
  <c r="AG18" i="52"/>
  <c r="Y18" i="52"/>
  <c r="AE18" i="52"/>
  <c r="AD18" i="52"/>
  <c r="AC18" i="52"/>
  <c r="AA18" i="52"/>
  <c r="AH18" i="52"/>
  <c r="AF18" i="52"/>
  <c r="AB18" i="52"/>
  <c r="Z18" i="52"/>
  <c r="P18" i="52"/>
  <c r="BD18" i="52" s="1"/>
  <c r="U19" i="52"/>
  <c r="W19" i="52" s="1"/>
  <c r="N26" i="51"/>
  <c r="BF26" i="51" s="1"/>
  <c r="BC25" i="51"/>
  <c r="BL25" i="51"/>
  <c r="I28" i="51"/>
  <c r="J28" i="51" s="1"/>
  <c r="I29" i="51" s="1"/>
  <c r="F8" i="51"/>
  <c r="F8" i="49"/>
  <c r="AG19" i="51"/>
  <c r="AE19" i="51"/>
  <c r="AC19" i="51"/>
  <c r="AA19" i="51"/>
  <c r="Y19" i="51"/>
  <c r="P19" i="51"/>
  <c r="BD19" i="51" s="1"/>
  <c r="AH19" i="51"/>
  <c r="AF19" i="51"/>
  <c r="AD19" i="51"/>
  <c r="AB19" i="51"/>
  <c r="Z19" i="51"/>
  <c r="BB19" i="51"/>
  <c r="AZ19" i="51"/>
  <c r="AX19" i="51"/>
  <c r="AV19" i="51"/>
  <c r="AT19" i="51"/>
  <c r="BA19" i="51"/>
  <c r="AY19" i="51"/>
  <c r="AW19" i="51"/>
  <c r="AU19" i="51"/>
  <c r="AS19" i="51"/>
  <c r="U20" i="51"/>
  <c r="F26" i="49"/>
  <c r="BH24" i="52" l="1"/>
  <c r="BF24" i="52"/>
  <c r="T21" i="51"/>
  <c r="V21" i="51" s="1"/>
  <c r="W20" i="51"/>
  <c r="X20" i="51" s="1"/>
  <c r="BC27" i="53"/>
  <c r="N40" i="53"/>
  <c r="BL40" i="53" s="1"/>
  <c r="BH35" i="53"/>
  <c r="BH27" i="53"/>
  <c r="BG25" i="54"/>
  <c r="BH25" i="54"/>
  <c r="BI25" i="54"/>
  <c r="BH44" i="54"/>
  <c r="BG44" i="54"/>
  <c r="BG26" i="51"/>
  <c r="BH26" i="51"/>
  <c r="BI44" i="54"/>
  <c r="A18" i="53"/>
  <c r="A18" i="52"/>
  <c r="A19" i="51"/>
  <c r="N26" i="54"/>
  <c r="BF26" i="54" s="1"/>
  <c r="BM25" i="54"/>
  <c r="BC25" i="54"/>
  <c r="Q50" i="54"/>
  <c r="BE49" i="54"/>
  <c r="BN53" i="54"/>
  <c r="AN53" i="54"/>
  <c r="AM53" i="54"/>
  <c r="AI53" i="54"/>
  <c r="AK53" i="54"/>
  <c r="AQ53" i="54"/>
  <c r="AJ53" i="54"/>
  <c r="AP53" i="54"/>
  <c r="AO53" i="54"/>
  <c r="AL53" i="54"/>
  <c r="AR53" i="54"/>
  <c r="AI52" i="54"/>
  <c r="AR52" i="54"/>
  <c r="AO52" i="54"/>
  <c r="AK52" i="54"/>
  <c r="AN52" i="54"/>
  <c r="AJ52" i="54"/>
  <c r="AQ52" i="54"/>
  <c r="AL52" i="54"/>
  <c r="AP52" i="54"/>
  <c r="AM52" i="54"/>
  <c r="BN52" i="54"/>
  <c r="N45" i="54"/>
  <c r="BF45" i="54" s="1"/>
  <c r="BC44" i="54"/>
  <c r="BM44" i="54"/>
  <c r="AZ24" i="54"/>
  <c r="AR24" i="54"/>
  <c r="AJ24" i="54"/>
  <c r="AX24" i="54"/>
  <c r="AP24" i="54"/>
  <c r="AW24" i="54"/>
  <c r="AO24" i="54"/>
  <c r="AU24" i="54"/>
  <c r="AM24" i="54"/>
  <c r="AN24" i="54"/>
  <c r="BB24" i="54"/>
  <c r="AL24" i="54"/>
  <c r="BA24" i="54"/>
  <c r="AK24" i="54"/>
  <c r="AY24" i="54"/>
  <c r="AI24" i="54"/>
  <c r="BN24" i="54"/>
  <c r="AV24" i="54"/>
  <c r="AT24" i="54"/>
  <c r="AQ24" i="54"/>
  <c r="AS24" i="54"/>
  <c r="AA19" i="54"/>
  <c r="AF19" i="54"/>
  <c r="AG19" i="54"/>
  <c r="AB19" i="54"/>
  <c r="AH19" i="54"/>
  <c r="AC19" i="54"/>
  <c r="Z19" i="54"/>
  <c r="AE19" i="54"/>
  <c r="P19" i="54"/>
  <c r="BD19" i="54" s="1"/>
  <c r="Y19" i="54"/>
  <c r="AD19" i="54"/>
  <c r="T20" i="53"/>
  <c r="V20" i="53" s="1"/>
  <c r="X19" i="53"/>
  <c r="K21" i="53"/>
  <c r="L21" i="53" s="1"/>
  <c r="BF21" i="53" s="1"/>
  <c r="N36" i="53"/>
  <c r="BC35" i="53"/>
  <c r="BG35" i="53"/>
  <c r="AN34" i="53"/>
  <c r="O35" i="53"/>
  <c r="AP34" i="53"/>
  <c r="AR34" i="53"/>
  <c r="AM34" i="53"/>
  <c r="AL34" i="53"/>
  <c r="AI34" i="53"/>
  <c r="AK34" i="53"/>
  <c r="AO34" i="53"/>
  <c r="AQ34" i="53"/>
  <c r="AJ34" i="53"/>
  <c r="BM34" i="53"/>
  <c r="BL24" i="52"/>
  <c r="BG24" i="52"/>
  <c r="N25" i="52"/>
  <c r="BC24" i="52"/>
  <c r="AY24" i="52"/>
  <c r="AO24" i="52"/>
  <c r="AM24" i="52"/>
  <c r="AK24" i="52"/>
  <c r="AQ24" i="52"/>
  <c r="BB24" i="52"/>
  <c r="AS24" i="52"/>
  <c r="AI24" i="52"/>
  <c r="AT24" i="52"/>
  <c r="AZ24" i="52"/>
  <c r="AR24" i="52"/>
  <c r="AX24" i="52"/>
  <c r="BM24" i="52"/>
  <c r="O25" i="52"/>
  <c r="AU24" i="52"/>
  <c r="AJ24" i="52"/>
  <c r="AP24" i="52"/>
  <c r="AV24" i="52"/>
  <c r="AW24" i="52"/>
  <c r="BA24" i="52"/>
  <c r="AL24" i="52"/>
  <c r="AN24" i="52"/>
  <c r="X19" i="52"/>
  <c r="T20" i="52"/>
  <c r="V20" i="52" s="1"/>
  <c r="N27" i="51"/>
  <c r="BF27" i="51" s="1"/>
  <c r="BC26" i="51"/>
  <c r="BL26" i="51"/>
  <c r="F27" i="49"/>
  <c r="F28" i="49" s="1"/>
  <c r="F29" i="49" s="1"/>
  <c r="I7" i="43"/>
  <c r="I6" i="43"/>
  <c r="I5" i="43"/>
  <c r="I4" i="43"/>
  <c r="G6" i="61" l="1"/>
  <c r="I6" i="65"/>
  <c r="G7" i="61"/>
  <c r="I7" i="65"/>
  <c r="G5" i="61"/>
  <c r="I5" i="65"/>
  <c r="F30" i="49"/>
  <c r="F31" i="49" s="1"/>
  <c r="BF31" i="49" s="1"/>
  <c r="BF29" i="49"/>
  <c r="F6" i="54"/>
  <c r="F6" i="52"/>
  <c r="F6" i="53"/>
  <c r="BH25" i="52"/>
  <c r="BF25" i="52"/>
  <c r="BH36" i="53"/>
  <c r="BH45" i="54"/>
  <c r="BG45" i="54"/>
  <c r="BG26" i="54"/>
  <c r="BH26" i="54"/>
  <c r="BI26" i="54"/>
  <c r="BG27" i="51"/>
  <c r="BH27" i="51"/>
  <c r="F7" i="54"/>
  <c r="F7" i="53"/>
  <c r="F7" i="52"/>
  <c r="F5" i="53"/>
  <c r="F5" i="52"/>
  <c r="F5" i="54"/>
  <c r="BI45" i="54"/>
  <c r="A19" i="54"/>
  <c r="N27" i="54"/>
  <c r="BF27" i="54" s="1"/>
  <c r="BC26" i="54"/>
  <c r="BM26" i="54"/>
  <c r="BE50" i="54"/>
  <c r="Q51" i="54"/>
  <c r="BC45" i="54"/>
  <c r="BM45" i="54"/>
  <c r="AY32" i="54"/>
  <c r="AW32" i="54"/>
  <c r="AZ32" i="54"/>
  <c r="AP32" i="54"/>
  <c r="AX32" i="54"/>
  <c r="AO32" i="54"/>
  <c r="AV32" i="54"/>
  <c r="AN32" i="54"/>
  <c r="AU32" i="54"/>
  <c r="AM32" i="54"/>
  <c r="AS32" i="54"/>
  <c r="AK32" i="54"/>
  <c r="AQ32" i="54"/>
  <c r="BN32" i="54"/>
  <c r="AL32" i="54"/>
  <c r="AJ32" i="54"/>
  <c r="AI32" i="54"/>
  <c r="BB32" i="54"/>
  <c r="BA32" i="54"/>
  <c r="AT32" i="54"/>
  <c r="AR32" i="54"/>
  <c r="X20" i="54"/>
  <c r="T21" i="54"/>
  <c r="V21" i="54" s="1"/>
  <c r="Z19" i="53"/>
  <c r="AH19" i="53"/>
  <c r="AF19" i="53"/>
  <c r="AE19" i="53"/>
  <c r="Y19" i="53"/>
  <c r="AG19" i="53"/>
  <c r="AB19" i="53"/>
  <c r="AA19" i="53"/>
  <c r="AD19" i="53"/>
  <c r="P19" i="53"/>
  <c r="BD19" i="53" s="1"/>
  <c r="AC19" i="53"/>
  <c r="U20" i="53"/>
  <c r="W20" i="53" s="1"/>
  <c r="BL21" i="53"/>
  <c r="I22" i="53"/>
  <c r="O36" i="53"/>
  <c r="BM35" i="53"/>
  <c r="AQ35" i="53"/>
  <c r="AL35" i="53"/>
  <c r="AP35" i="53"/>
  <c r="AN35" i="53"/>
  <c r="AK35" i="53"/>
  <c r="AI35" i="53"/>
  <c r="AM35" i="53"/>
  <c r="AR35" i="53"/>
  <c r="AO35" i="53"/>
  <c r="AJ35" i="53"/>
  <c r="N37" i="53"/>
  <c r="BC36" i="53"/>
  <c r="BG36" i="53"/>
  <c r="N26" i="52"/>
  <c r="BG25" i="52"/>
  <c r="BC25" i="52"/>
  <c r="BL25" i="52"/>
  <c r="AI25" i="52"/>
  <c r="BB25" i="52"/>
  <c r="AK25" i="52"/>
  <c r="AX25" i="52"/>
  <c r="BM25" i="52"/>
  <c r="AV25" i="52"/>
  <c r="AZ25" i="52"/>
  <c r="AP25" i="52"/>
  <c r="AN25" i="52"/>
  <c r="AR25" i="52"/>
  <c r="AT25" i="52"/>
  <c r="AL25" i="52"/>
  <c r="AM25" i="52"/>
  <c r="AJ25" i="52"/>
  <c r="BA25" i="52"/>
  <c r="AS25" i="52"/>
  <c r="AQ25" i="52"/>
  <c r="AY25" i="52"/>
  <c r="AW25" i="52"/>
  <c r="AU25" i="52"/>
  <c r="AO25" i="52"/>
  <c r="AC19" i="52"/>
  <c r="AA19" i="52"/>
  <c r="AH19" i="52"/>
  <c r="Z19" i="52"/>
  <c r="P19" i="52"/>
  <c r="BD19" i="52" s="1"/>
  <c r="AG19" i="52"/>
  <c r="Y19" i="52"/>
  <c r="AE19" i="52"/>
  <c r="AB19" i="52"/>
  <c r="AF19" i="52"/>
  <c r="AD19" i="52"/>
  <c r="U20" i="52"/>
  <c r="W20" i="52" s="1"/>
  <c r="BL27" i="51"/>
  <c r="F6" i="51"/>
  <c r="F6" i="49"/>
  <c r="F5" i="51"/>
  <c r="F5" i="49"/>
  <c r="F7" i="49"/>
  <c r="F7" i="51"/>
  <c r="AH20" i="51"/>
  <c r="AF20" i="51"/>
  <c r="AD20" i="51"/>
  <c r="AB20" i="51"/>
  <c r="Z20" i="51"/>
  <c r="P20" i="51"/>
  <c r="BD20" i="51" s="1"/>
  <c r="AG20" i="51"/>
  <c r="AE20" i="51"/>
  <c r="AC20" i="51"/>
  <c r="AA20" i="51"/>
  <c r="Y20" i="51"/>
  <c r="U21" i="51"/>
  <c r="F32" i="49" l="1"/>
  <c r="F33" i="49" s="1"/>
  <c r="F34" i="49" s="1"/>
  <c r="F35" i="49" s="1"/>
  <c r="BH26" i="52"/>
  <c r="BF26" i="52"/>
  <c r="T22" i="51"/>
  <c r="V22" i="51" s="1"/>
  <c r="W21" i="51"/>
  <c r="X21" i="51" s="1"/>
  <c r="BH37" i="53"/>
  <c r="A19" i="52"/>
  <c r="BG27" i="54"/>
  <c r="BH27" i="54"/>
  <c r="BI27" i="54"/>
  <c r="A20" i="51"/>
  <c r="A19" i="53"/>
  <c r="N29" i="54"/>
  <c r="BF29" i="54" s="1"/>
  <c r="BM27" i="54"/>
  <c r="BC27" i="54"/>
  <c r="BE51" i="54"/>
  <c r="Q52" i="54"/>
  <c r="N47" i="54"/>
  <c r="BF47" i="54" s="1"/>
  <c r="BC46" i="54"/>
  <c r="BM46" i="54"/>
  <c r="AU33" i="54"/>
  <c r="AM33" i="54"/>
  <c r="BN33" i="54"/>
  <c r="BB33" i="54"/>
  <c r="AT33" i="54"/>
  <c r="AL33" i="54"/>
  <c r="AZ33" i="54"/>
  <c r="AR33" i="54"/>
  <c r="AJ33" i="54"/>
  <c r="AP33" i="54"/>
  <c r="BA33" i="54"/>
  <c r="AO33" i="54"/>
  <c r="AY33" i="54"/>
  <c r="AN33" i="54"/>
  <c r="AX33" i="54"/>
  <c r="AK33" i="54"/>
  <c r="AV33" i="54"/>
  <c r="AQ33" i="54"/>
  <c r="AI33" i="54"/>
  <c r="AS33" i="54"/>
  <c r="AW33" i="54"/>
  <c r="Y20" i="54"/>
  <c r="AD20" i="54"/>
  <c r="AA20" i="54"/>
  <c r="AG20" i="54"/>
  <c r="AF20" i="54"/>
  <c r="P20" i="54"/>
  <c r="BD20" i="54" s="1"/>
  <c r="Z20" i="54"/>
  <c r="AB20" i="54"/>
  <c r="AE20" i="54"/>
  <c r="AC20" i="54"/>
  <c r="AH20" i="54"/>
  <c r="U21" i="54"/>
  <c r="W21" i="54" s="1"/>
  <c r="T21" i="53"/>
  <c r="V21" i="53" s="1"/>
  <c r="X20" i="53"/>
  <c r="K22" i="53"/>
  <c r="L22" i="53" s="1"/>
  <c r="BF22" i="53" s="1"/>
  <c r="N38" i="53"/>
  <c r="BC37" i="53"/>
  <c r="BG37" i="53"/>
  <c r="AR36" i="53"/>
  <c r="AP36" i="53"/>
  <c r="AJ36" i="53"/>
  <c r="AM36" i="53"/>
  <c r="AQ36" i="53"/>
  <c r="AL36" i="53"/>
  <c r="AI36" i="53"/>
  <c r="AO36" i="53"/>
  <c r="AN36" i="53"/>
  <c r="AK36" i="53"/>
  <c r="BM36" i="53"/>
  <c r="AQ26" i="52"/>
  <c r="AO26" i="52"/>
  <c r="AM26" i="52"/>
  <c r="AI26" i="52"/>
  <c r="BM26" i="52"/>
  <c r="AK26" i="52"/>
  <c r="AN26" i="52"/>
  <c r="AR26" i="52"/>
  <c r="AP26" i="52"/>
  <c r="AJ26" i="52"/>
  <c r="O27" i="52"/>
  <c r="AL26" i="52"/>
  <c r="BL26" i="52"/>
  <c r="BC26" i="52"/>
  <c r="BG26" i="52"/>
  <c r="T21" i="52"/>
  <c r="V21" i="52" s="1"/>
  <c r="X20" i="52"/>
  <c r="BL28" i="51"/>
  <c r="N29" i="51"/>
  <c r="BC28" i="51"/>
  <c r="I5" i="39"/>
  <c r="I6" i="39"/>
  <c r="I7" i="39"/>
  <c r="I8" i="39"/>
  <c r="I4" i="39"/>
  <c r="BH38" i="53" l="1"/>
  <c r="BG29" i="54"/>
  <c r="BH29" i="54"/>
  <c r="BI29" i="54"/>
  <c r="BG47" i="54"/>
  <c r="BH47" i="54"/>
  <c r="BG29" i="51"/>
  <c r="BH29" i="51"/>
  <c r="BI47" i="54"/>
  <c r="N30" i="54"/>
  <c r="BF30" i="54" s="1"/>
  <c r="BC29" i="54"/>
  <c r="BM29" i="54"/>
  <c r="A20" i="54"/>
  <c r="Q53" i="54"/>
  <c r="BE53" i="54" s="1"/>
  <c r="BE52" i="54"/>
  <c r="N48" i="54"/>
  <c r="BF48" i="54" s="1"/>
  <c r="BM47" i="54"/>
  <c r="BC47" i="54"/>
  <c r="AZ34" i="54"/>
  <c r="AR34" i="54"/>
  <c r="AJ34" i="54"/>
  <c r="AY34" i="54"/>
  <c r="AQ34" i="54"/>
  <c r="AI34" i="54"/>
  <c r="AX34" i="54"/>
  <c r="AP34" i="54"/>
  <c r="AW34" i="54"/>
  <c r="AO34" i="54"/>
  <c r="AV34" i="54"/>
  <c r="AN34" i="54"/>
  <c r="BN34" i="54"/>
  <c r="AU34" i="54"/>
  <c r="AT34" i="54"/>
  <c r="AS34" i="54"/>
  <c r="AM34" i="54"/>
  <c r="AK34" i="54"/>
  <c r="BB34" i="54"/>
  <c r="BA34" i="54"/>
  <c r="AL34" i="54"/>
  <c r="T22" i="54"/>
  <c r="V22" i="54" s="1"/>
  <c r="X21" i="54"/>
  <c r="AE20" i="53"/>
  <c r="P20" i="53"/>
  <c r="BD20" i="53" s="1"/>
  <c r="AD20" i="53"/>
  <c r="AH20" i="53"/>
  <c r="AG20" i="53"/>
  <c r="AB20" i="53"/>
  <c r="Y20" i="53"/>
  <c r="AC20" i="53"/>
  <c r="AA20" i="53"/>
  <c r="Z20" i="53"/>
  <c r="AF20" i="53"/>
  <c r="U21" i="53"/>
  <c r="W21" i="53" s="1"/>
  <c r="BL22" i="53"/>
  <c r="I23" i="53"/>
  <c r="AF37" i="53"/>
  <c r="AN37" i="53"/>
  <c r="BM37" i="53"/>
  <c r="O38" i="53"/>
  <c r="AG37" i="53"/>
  <c r="AP37" i="53"/>
  <c r="AR37" i="53"/>
  <c r="AB37" i="53"/>
  <c r="AE37" i="53"/>
  <c r="AA37" i="53"/>
  <c r="AO37" i="53"/>
  <c r="AM37" i="53"/>
  <c r="AI37" i="53"/>
  <c r="AC37" i="53"/>
  <c r="Z37" i="53"/>
  <c r="AQ37" i="53"/>
  <c r="AK37" i="53"/>
  <c r="P37" i="53"/>
  <c r="BD37" i="53" s="1"/>
  <c r="Y37" i="53"/>
  <c r="AH37" i="53"/>
  <c r="AJ37" i="53"/>
  <c r="AL37" i="53"/>
  <c r="AD37" i="53"/>
  <c r="N39" i="53"/>
  <c r="BG38" i="53"/>
  <c r="BC38" i="53"/>
  <c r="N28" i="52"/>
  <c r="BC27" i="52"/>
  <c r="BG27" i="52"/>
  <c r="BL27" i="52"/>
  <c r="AQ27" i="52"/>
  <c r="AI27" i="52"/>
  <c r="AM27" i="52"/>
  <c r="AJ27" i="52"/>
  <c r="O28" i="52"/>
  <c r="AP27" i="52"/>
  <c r="BM27" i="52"/>
  <c r="AL27" i="52"/>
  <c r="AR27" i="52"/>
  <c r="AK27" i="52"/>
  <c r="AN27" i="52"/>
  <c r="AO27" i="52"/>
  <c r="AG20" i="52"/>
  <c r="Y20" i="52"/>
  <c r="AF20" i="52"/>
  <c r="AE20" i="52"/>
  <c r="AD20" i="52"/>
  <c r="AC20" i="52"/>
  <c r="AA20" i="52"/>
  <c r="P20" i="52"/>
  <c r="BD20" i="52" s="1"/>
  <c r="AH20" i="52"/>
  <c r="AB20" i="52"/>
  <c r="Z20" i="52"/>
  <c r="U21" i="52"/>
  <c r="W21" i="52" s="1"/>
  <c r="BC29" i="51"/>
  <c r="N30" i="51"/>
  <c r="AH21" i="51"/>
  <c r="AF21" i="51"/>
  <c r="AD21" i="51"/>
  <c r="AB21" i="51"/>
  <c r="Z21" i="51"/>
  <c r="P21" i="51"/>
  <c r="BD21" i="51" s="1"/>
  <c r="AG21" i="51"/>
  <c r="AE21" i="51"/>
  <c r="AC21" i="51"/>
  <c r="AA21" i="51"/>
  <c r="Y21" i="51"/>
  <c r="U22" i="51"/>
  <c r="T23" i="51" l="1"/>
  <c r="V23" i="51" s="1"/>
  <c r="W22" i="51"/>
  <c r="X22" i="51" s="1"/>
  <c r="BH28" i="52"/>
  <c r="BF28" i="52"/>
  <c r="BH39" i="53"/>
  <c r="BG48" i="54"/>
  <c r="BH48" i="54"/>
  <c r="BG30" i="54"/>
  <c r="BG31" i="54" s="1"/>
  <c r="BH30" i="54"/>
  <c r="BH31" i="54" s="1"/>
  <c r="BI30" i="54"/>
  <c r="BI31" i="54" s="1"/>
  <c r="BG30" i="51"/>
  <c r="BH30" i="51"/>
  <c r="A21" i="51"/>
  <c r="BI48" i="54"/>
  <c r="A20" i="53"/>
  <c r="A20" i="52"/>
  <c r="BC30" i="54"/>
  <c r="BC31" i="54" s="1"/>
  <c r="BF31" i="54"/>
  <c r="BM30" i="54"/>
  <c r="BE54" i="54"/>
  <c r="N49" i="54"/>
  <c r="BF49" i="54" s="1"/>
  <c r="BC48" i="54"/>
  <c r="BM48" i="54"/>
  <c r="U22" i="54"/>
  <c r="W22" i="54" s="1"/>
  <c r="AD21" i="54"/>
  <c r="AB21" i="54"/>
  <c r="AH21" i="54"/>
  <c r="AF21" i="54"/>
  <c r="AE21" i="54"/>
  <c r="Z21" i="54"/>
  <c r="AA21" i="54"/>
  <c r="P21" i="54"/>
  <c r="BD21" i="54" s="1"/>
  <c r="AG21" i="54"/>
  <c r="AC21" i="54"/>
  <c r="Y21" i="54"/>
  <c r="AV35" i="54"/>
  <c r="AN35" i="54"/>
  <c r="AU35" i="54"/>
  <c r="AM35" i="54"/>
  <c r="BN35" i="54"/>
  <c r="BB35" i="54"/>
  <c r="AT35" i="54"/>
  <c r="AL35" i="54"/>
  <c r="BA35" i="54"/>
  <c r="AS35" i="54"/>
  <c r="AK35" i="54"/>
  <c r="AZ35" i="54"/>
  <c r="AR35" i="54"/>
  <c r="AJ35" i="54"/>
  <c r="AQ35" i="54"/>
  <c r="AP35" i="54"/>
  <c r="AO35" i="54"/>
  <c r="AI35" i="54"/>
  <c r="AY35" i="54"/>
  <c r="AX35" i="54"/>
  <c r="AW35" i="54"/>
  <c r="T22" i="53"/>
  <c r="V22" i="53" s="1"/>
  <c r="X21" i="53"/>
  <c r="I24" i="53"/>
  <c r="K23" i="53"/>
  <c r="L23" i="53" s="1"/>
  <c r="BF23" i="53" s="1"/>
  <c r="AN38" i="53"/>
  <c r="O39" i="53"/>
  <c r="AF38" i="53"/>
  <c r="BM38" i="53"/>
  <c r="AO38" i="53"/>
  <c r="AQ38" i="53"/>
  <c r="AD38" i="53"/>
  <c r="AA38" i="53"/>
  <c r="P38" i="53"/>
  <c r="BD38" i="53" s="1"/>
  <c r="AL38" i="53"/>
  <c r="Y38" i="53"/>
  <c r="Z38" i="53"/>
  <c r="AB38" i="53"/>
  <c r="AE38" i="53"/>
  <c r="AH38" i="53"/>
  <c r="AJ38" i="53"/>
  <c r="AM38" i="53"/>
  <c r="AP38" i="53"/>
  <c r="AR38" i="53"/>
  <c r="AG38" i="53"/>
  <c r="AI38" i="53"/>
  <c r="AK38" i="53"/>
  <c r="AC38" i="53"/>
  <c r="BG39" i="53"/>
  <c r="BG40" i="53" s="1"/>
  <c r="BC39" i="53"/>
  <c r="BC40" i="53" s="1"/>
  <c r="BC28" i="52"/>
  <c r="N29" i="52"/>
  <c r="BG28" i="52"/>
  <c r="BL28" i="52"/>
  <c r="AM28" i="52"/>
  <c r="AN28" i="52"/>
  <c r="AQ28" i="52"/>
  <c r="BM28" i="52"/>
  <c r="AK28" i="52"/>
  <c r="AI28" i="52"/>
  <c r="AP28" i="52"/>
  <c r="AR28" i="52"/>
  <c r="AL28" i="52"/>
  <c r="AJ28" i="52"/>
  <c r="O29" i="52"/>
  <c r="AO28" i="52"/>
  <c r="X21" i="52"/>
  <c r="T22" i="52"/>
  <c r="V22" i="52" s="1"/>
  <c r="BC30" i="51"/>
  <c r="BE58" i="54" l="1"/>
  <c r="F60" i="43"/>
  <c r="BH29" i="52"/>
  <c r="BF29" i="52"/>
  <c r="BG49" i="54"/>
  <c r="BH49" i="54"/>
  <c r="BI49" i="54"/>
  <c r="A21" i="54"/>
  <c r="N50" i="54"/>
  <c r="BF50" i="54" s="1"/>
  <c r="BM49" i="54"/>
  <c r="BC49" i="54"/>
  <c r="AQ36" i="54"/>
  <c r="AI36" i="54"/>
  <c r="AP36" i="54"/>
  <c r="AO36" i="54"/>
  <c r="AN36" i="54"/>
  <c r="AM36" i="54"/>
  <c r="BN36" i="54"/>
  <c r="AR36" i="54"/>
  <c r="AL36" i="54"/>
  <c r="AK36" i="54"/>
  <c r="AJ36" i="54"/>
  <c r="T23" i="54"/>
  <c r="V23" i="54" s="1"/>
  <c r="X22" i="54"/>
  <c r="Y21" i="53"/>
  <c r="AF21" i="53"/>
  <c r="AD21" i="53"/>
  <c r="AE21" i="53"/>
  <c r="Z21" i="53"/>
  <c r="AC21" i="53"/>
  <c r="AH21" i="53"/>
  <c r="AA21" i="53"/>
  <c r="P21" i="53"/>
  <c r="BD21" i="53" s="1"/>
  <c r="AG21" i="53"/>
  <c r="AB21" i="53"/>
  <c r="U22" i="53"/>
  <c r="W22" i="53" s="1"/>
  <c r="BL23" i="53"/>
  <c r="K24" i="53"/>
  <c r="L24" i="53" s="1"/>
  <c r="BF24" i="53" s="1"/>
  <c r="AN39" i="53"/>
  <c r="AN40" i="53" s="1"/>
  <c r="AF39" i="53"/>
  <c r="BM39" i="53"/>
  <c r="AG39" i="53"/>
  <c r="AI39" i="53"/>
  <c r="AI40" i="53" s="1"/>
  <c r="AK39" i="53"/>
  <c r="AK40" i="53" s="1"/>
  <c r="AO39" i="53"/>
  <c r="AO40" i="53" s="1"/>
  <c r="AQ39" i="53"/>
  <c r="AQ40" i="53" s="1"/>
  <c r="AD39" i="53"/>
  <c r="P39" i="53"/>
  <c r="BD39" i="53" s="1"/>
  <c r="AL39" i="53"/>
  <c r="AL40" i="53" s="1"/>
  <c r="Z39" i="53"/>
  <c r="AB39" i="53"/>
  <c r="AE39" i="53"/>
  <c r="AH39" i="53"/>
  <c r="AJ39" i="53"/>
  <c r="AJ40" i="53" s="1"/>
  <c r="AM39" i="53"/>
  <c r="AM40" i="53" s="1"/>
  <c r="AP39" i="53"/>
  <c r="AP40" i="53" s="1"/>
  <c r="AR39" i="53"/>
  <c r="AR40" i="53" s="1"/>
  <c r="Y39" i="53"/>
  <c r="AA39" i="53"/>
  <c r="AC39" i="53"/>
  <c r="N30" i="52"/>
  <c r="BG29" i="52"/>
  <c r="BC29" i="52"/>
  <c r="BL29" i="52"/>
  <c r="AQ29" i="52"/>
  <c r="AO29" i="52"/>
  <c r="AM29" i="52"/>
  <c r="AJ29" i="52"/>
  <c r="AI29" i="52"/>
  <c r="AK29" i="52"/>
  <c r="AL29" i="52"/>
  <c r="BM29" i="52"/>
  <c r="AP29" i="52"/>
  <c r="AR29" i="52"/>
  <c r="AN29" i="52"/>
  <c r="O30" i="52"/>
  <c r="AD21" i="52"/>
  <c r="AC21" i="52"/>
  <c r="AB21" i="52"/>
  <c r="AA21" i="52"/>
  <c r="AH21" i="52"/>
  <c r="Z21" i="52"/>
  <c r="P21" i="52"/>
  <c r="BD21" i="52" s="1"/>
  <c r="AG21" i="52"/>
  <c r="Y21" i="52"/>
  <c r="AE21" i="52"/>
  <c r="AF21" i="52"/>
  <c r="N32" i="51"/>
  <c r="BF32" i="51" s="1"/>
  <c r="BL31" i="51"/>
  <c r="BC31" i="51"/>
  <c r="AH22" i="51"/>
  <c r="AF22" i="51"/>
  <c r="AD22" i="51"/>
  <c r="AB22" i="51"/>
  <c r="Z22" i="51"/>
  <c r="P22" i="51"/>
  <c r="BD22" i="51" s="1"/>
  <c r="AG22" i="51"/>
  <c r="AE22" i="51"/>
  <c r="AC22" i="51"/>
  <c r="AA22" i="51"/>
  <c r="Y22" i="51"/>
  <c r="U23" i="51"/>
  <c r="BH30" i="52" l="1"/>
  <c r="BF30" i="52"/>
  <c r="T24" i="51"/>
  <c r="V24" i="51" s="1"/>
  <c r="W23" i="51"/>
  <c r="X23" i="51" s="1"/>
  <c r="L25" i="53"/>
  <c r="BG50" i="54"/>
  <c r="BH50" i="54"/>
  <c r="BH32" i="51"/>
  <c r="BI50" i="54"/>
  <c r="A21" i="53"/>
  <c r="A21" i="52"/>
  <c r="A22" i="51"/>
  <c r="N51" i="54"/>
  <c r="BF51" i="54" s="1"/>
  <c r="BC50" i="54"/>
  <c r="BM50" i="54"/>
  <c r="N54" i="54"/>
  <c r="BM54" i="54" s="1"/>
  <c r="AG22" i="54"/>
  <c r="AF22" i="54"/>
  <c r="AB22" i="54"/>
  <c r="Y22" i="54"/>
  <c r="P22" i="54"/>
  <c r="BD22" i="54" s="1"/>
  <c r="Z22" i="54"/>
  <c r="AH22" i="54"/>
  <c r="AD22" i="54"/>
  <c r="AA22" i="54"/>
  <c r="AC22" i="54"/>
  <c r="AE22" i="54"/>
  <c r="U23" i="54"/>
  <c r="W23" i="54" s="1"/>
  <c r="AM37" i="54"/>
  <c r="BN37" i="54"/>
  <c r="AL37" i="54"/>
  <c r="AK37" i="54"/>
  <c r="AR37" i="54"/>
  <c r="AJ37" i="54"/>
  <c r="AQ37" i="54"/>
  <c r="AI37" i="54"/>
  <c r="AP37" i="54"/>
  <c r="AO37" i="54"/>
  <c r="AN37" i="54"/>
  <c r="AI43" i="53"/>
  <c r="X22" i="53"/>
  <c r="T23" i="53"/>
  <c r="V23" i="53" s="1"/>
  <c r="BL24" i="53"/>
  <c r="BF25" i="53"/>
  <c r="I26" i="53"/>
  <c r="AQ30" i="52"/>
  <c r="AN30" i="52"/>
  <c r="AL30" i="52"/>
  <c r="AO30" i="52"/>
  <c r="AI30" i="52"/>
  <c r="BM30" i="52"/>
  <c r="AK30" i="52"/>
  <c r="AP30" i="52"/>
  <c r="O31" i="52"/>
  <c r="AR30" i="52"/>
  <c r="AM30" i="52"/>
  <c r="AJ30" i="52"/>
  <c r="BL30" i="52"/>
  <c r="N31" i="52"/>
  <c r="BC30" i="52"/>
  <c r="BG30" i="52"/>
  <c r="T23" i="52"/>
  <c r="V23" i="52" s="1"/>
  <c r="X22" i="52"/>
  <c r="N33" i="51"/>
  <c r="BF33" i="51" s="1"/>
  <c r="BC32" i="51"/>
  <c r="F719" i="43" l="1"/>
  <c r="U24" i="51"/>
  <c r="W24" i="51" s="1"/>
  <c r="X24" i="51" s="1"/>
  <c r="BH31" i="52"/>
  <c r="BF31" i="52"/>
  <c r="BG51" i="54"/>
  <c r="BH51" i="54"/>
  <c r="BH33" i="51"/>
  <c r="BI51" i="54"/>
  <c r="A22" i="54"/>
  <c r="N52" i="54"/>
  <c r="BF52" i="54" s="1"/>
  <c r="BC51" i="54"/>
  <c r="BM51" i="54"/>
  <c r="AP38" i="54"/>
  <c r="AO38" i="54"/>
  <c r="AN38" i="54"/>
  <c r="AM38" i="54"/>
  <c r="BN38" i="54"/>
  <c r="AL38" i="54"/>
  <c r="AJ38" i="54"/>
  <c r="AI38" i="54"/>
  <c r="AR38" i="54"/>
  <c r="AQ38" i="54"/>
  <c r="AK38" i="54"/>
  <c r="T24" i="54"/>
  <c r="V24" i="54" s="1"/>
  <c r="X23" i="54"/>
  <c r="U23" i="53"/>
  <c r="W23" i="53" s="1"/>
  <c r="AD22" i="53"/>
  <c r="AG22" i="53"/>
  <c r="P22" i="53"/>
  <c r="BD22" i="53" s="1"/>
  <c r="AC22" i="53"/>
  <c r="AB22" i="53"/>
  <c r="Z22" i="53"/>
  <c r="AE22" i="53"/>
  <c r="Y22" i="53"/>
  <c r="AF22" i="53"/>
  <c r="AA22" i="53"/>
  <c r="AH22" i="53"/>
  <c r="K26" i="53"/>
  <c r="L26" i="53" s="1"/>
  <c r="BF26" i="53" s="1"/>
  <c r="AO31" i="52"/>
  <c r="AM31" i="52"/>
  <c r="AQ31" i="52"/>
  <c r="AI31" i="52"/>
  <c r="AL31" i="52"/>
  <c r="AJ31" i="52"/>
  <c r="BM31" i="52"/>
  <c r="O32" i="52"/>
  <c r="AP31" i="52"/>
  <c r="AN31" i="52"/>
  <c r="AR31" i="52"/>
  <c r="AK31" i="52"/>
  <c r="BL31" i="52"/>
  <c r="N32" i="52"/>
  <c r="BC31" i="52"/>
  <c r="BG31" i="52"/>
  <c r="AH22" i="52"/>
  <c r="Z22" i="52"/>
  <c r="P22" i="52"/>
  <c r="BD22" i="52" s="1"/>
  <c r="AG22" i="52"/>
  <c r="Y22" i="52"/>
  <c r="AF22" i="52"/>
  <c r="AE22" i="52"/>
  <c r="AD22" i="52"/>
  <c r="AC22" i="52"/>
  <c r="AA22" i="52"/>
  <c r="AB22" i="52"/>
  <c r="U23" i="52"/>
  <c r="W23" i="52" s="1"/>
  <c r="BL33" i="51"/>
  <c r="BC33" i="51"/>
  <c r="AH23" i="51"/>
  <c r="AF23" i="51"/>
  <c r="AD23" i="51"/>
  <c r="AB23" i="51"/>
  <c r="Z23" i="51"/>
  <c r="P23" i="51"/>
  <c r="BD23" i="51" s="1"/>
  <c r="AG23" i="51"/>
  <c r="AE23" i="51"/>
  <c r="AC23" i="51"/>
  <c r="AA23" i="51"/>
  <c r="Y23" i="51"/>
  <c r="F47" i="39"/>
  <c r="F45" i="39"/>
  <c r="F46" i="39"/>
  <c r="T25" i="51" l="1"/>
  <c r="V25" i="51" s="1"/>
  <c r="F721" i="43"/>
  <c r="BH32" i="52"/>
  <c r="BH33" i="52" s="1"/>
  <c r="BF32" i="52"/>
  <c r="BI52" i="54"/>
  <c r="BG52" i="54"/>
  <c r="BH52" i="54"/>
  <c r="A22" i="53"/>
  <c r="A22" i="52"/>
  <c r="A23" i="51"/>
  <c r="N53" i="54"/>
  <c r="BF53" i="54" s="1"/>
  <c r="BM52" i="54"/>
  <c r="BC52" i="54"/>
  <c r="AD23" i="54"/>
  <c r="AC23" i="54"/>
  <c r="AE23" i="54"/>
  <c r="P23" i="54"/>
  <c r="BD23" i="54" s="1"/>
  <c r="AA23" i="54"/>
  <c r="AG23" i="54"/>
  <c r="AF23" i="54"/>
  <c r="Z23" i="54"/>
  <c r="AH23" i="54"/>
  <c r="AB23" i="54"/>
  <c r="Y23" i="54"/>
  <c r="AK39" i="54"/>
  <c r="AR39" i="54"/>
  <c r="AJ39" i="54"/>
  <c r="AQ39" i="54"/>
  <c r="AI39" i="54"/>
  <c r="AP39" i="54"/>
  <c r="AO39" i="54"/>
  <c r="AM39" i="54"/>
  <c r="AL39" i="54"/>
  <c r="BN39" i="54"/>
  <c r="AN39" i="54"/>
  <c r="U24" i="54"/>
  <c r="T24" i="53"/>
  <c r="V24" i="53" s="1"/>
  <c r="X23" i="53"/>
  <c r="BL26" i="53"/>
  <c r="I27" i="53"/>
  <c r="BC32" i="52"/>
  <c r="BC33" i="52" s="1"/>
  <c r="BG32" i="52"/>
  <c r="BG33" i="52" s="1"/>
  <c r="BL32" i="52"/>
  <c r="BF33" i="52"/>
  <c r="M46" i="52" s="1"/>
  <c r="P46" i="52" s="1"/>
  <c r="P42" i="52" s="1"/>
  <c r="F634" i="43" s="1"/>
  <c r="N33" i="52"/>
  <c r="BL33" i="52" s="1"/>
  <c r="AM32" i="52"/>
  <c r="AM33" i="52" s="1"/>
  <c r="AN32" i="52"/>
  <c r="AN33" i="52" s="1"/>
  <c r="AQ32" i="52"/>
  <c r="AQ33" i="52" s="1"/>
  <c r="AK32" i="52"/>
  <c r="AK33" i="52" s="1"/>
  <c r="AI32" i="52"/>
  <c r="AI33" i="52" s="1"/>
  <c r="BM32" i="52"/>
  <c r="AP32" i="52"/>
  <c r="AP33" i="52" s="1"/>
  <c r="AL32" i="52"/>
  <c r="AL33" i="52" s="1"/>
  <c r="AR32" i="52"/>
  <c r="AR33" i="52" s="1"/>
  <c r="AO32" i="52"/>
  <c r="AO33" i="52" s="1"/>
  <c r="AJ32" i="52"/>
  <c r="AJ33" i="52" s="1"/>
  <c r="X23" i="52"/>
  <c r="T24" i="52"/>
  <c r="V24" i="52" s="1"/>
  <c r="T26" i="51"/>
  <c r="V26" i="51" s="1"/>
  <c r="N35" i="51"/>
  <c r="BF35" i="51" s="1"/>
  <c r="BL34" i="51"/>
  <c r="BC34" i="51"/>
  <c r="AB24" i="51"/>
  <c r="AF24" i="51"/>
  <c r="AA24" i="51"/>
  <c r="AE24" i="51"/>
  <c r="AH24" i="51"/>
  <c r="AD24" i="51"/>
  <c r="Z24" i="51"/>
  <c r="P24" i="51"/>
  <c r="BD24" i="51" s="1"/>
  <c r="AG24" i="51"/>
  <c r="Y24" i="51"/>
  <c r="AC24" i="51"/>
  <c r="F61" i="39"/>
  <c r="F39" i="39"/>
  <c r="F35" i="39"/>
  <c r="F723" i="43" l="1"/>
  <c r="T25" i="54"/>
  <c r="V25" i="54" s="1"/>
  <c r="W24" i="54"/>
  <c r="X24" i="54" s="1"/>
  <c r="BG53" i="54"/>
  <c r="BG54" i="54" s="1"/>
  <c r="M75" i="54" s="1"/>
  <c r="BH53" i="54"/>
  <c r="BH54" i="54" s="1"/>
  <c r="BH58" i="54" s="1"/>
  <c r="BG35" i="51"/>
  <c r="BH35" i="51"/>
  <c r="BI53" i="54"/>
  <c r="BI54" i="54" s="1"/>
  <c r="BI58" i="54" s="1"/>
  <c r="A24" i="51"/>
  <c r="A23" i="54"/>
  <c r="BC53" i="54"/>
  <c r="BC54" i="54" s="1"/>
  <c r="BC58" i="54" s="1"/>
  <c r="BF54" i="54"/>
  <c r="BF58" i="54" s="1"/>
  <c r="M68" i="54" s="1"/>
  <c r="P68" i="54" s="1"/>
  <c r="P63" i="54" s="1"/>
  <c r="F160" i="43" s="1"/>
  <c r="BM53" i="54"/>
  <c r="AN40" i="54"/>
  <c r="AM40" i="54"/>
  <c r="BN40" i="54"/>
  <c r="AL40" i="54"/>
  <c r="AK40" i="54"/>
  <c r="AR40" i="54"/>
  <c r="AJ40" i="54"/>
  <c r="AQ40" i="54"/>
  <c r="AP40" i="54"/>
  <c r="AO40" i="54"/>
  <c r="AI40" i="54"/>
  <c r="Z23" i="53"/>
  <c r="AG23" i="53"/>
  <c r="AF23" i="53"/>
  <c r="P23" i="53"/>
  <c r="BD23" i="53" s="1"/>
  <c r="Y23" i="53"/>
  <c r="AA23" i="53"/>
  <c r="AD23" i="53"/>
  <c r="AC23" i="53"/>
  <c r="AH23" i="53"/>
  <c r="AB23" i="53"/>
  <c r="AE23" i="53"/>
  <c r="I28" i="53"/>
  <c r="K27" i="53"/>
  <c r="L27" i="53" s="1"/>
  <c r="BF27" i="53" s="1"/>
  <c r="AI36" i="52"/>
  <c r="X25" i="51"/>
  <c r="AD23" i="52"/>
  <c r="AC23" i="52"/>
  <c r="AB23" i="52"/>
  <c r="AA23" i="52"/>
  <c r="AH23" i="52"/>
  <c r="Z23" i="52"/>
  <c r="P23" i="52"/>
  <c r="BD23" i="52" s="1"/>
  <c r="AG23" i="52"/>
  <c r="Y23" i="52"/>
  <c r="AE23" i="52"/>
  <c r="AF23" i="52"/>
  <c r="U24" i="52"/>
  <c r="W24" i="52" s="1"/>
  <c r="BC35" i="51"/>
  <c r="BL35" i="51"/>
  <c r="U26" i="51"/>
  <c r="F53" i="39"/>
  <c r="F20" i="39"/>
  <c r="F30" i="39" s="1"/>
  <c r="F54" i="39"/>
  <c r="F21" i="39"/>
  <c r="F24" i="39" s="1"/>
  <c r="F22" i="39"/>
  <c r="F25" i="39" s="1"/>
  <c r="F17" i="39"/>
  <c r="F15" i="39"/>
  <c r="F754" i="43" l="1"/>
  <c r="AG25" i="51"/>
  <c r="AB25" i="51"/>
  <c r="AF25" i="51"/>
  <c r="AC25" i="51"/>
  <c r="AD25" i="51"/>
  <c r="AE25" i="51"/>
  <c r="U25" i="54"/>
  <c r="W25" i="54" s="1"/>
  <c r="X25" i="54" s="1"/>
  <c r="T27" i="51"/>
  <c r="V27" i="51" s="1"/>
  <c r="W26" i="51"/>
  <c r="X26" i="51" s="1"/>
  <c r="A23" i="53"/>
  <c r="BG58" i="54"/>
  <c r="P75" i="54"/>
  <c r="P74" i="54" s="1"/>
  <c r="F162" i="43" s="1"/>
  <c r="A23" i="52"/>
  <c r="U32" i="54"/>
  <c r="W32" i="54" s="1"/>
  <c r="AQ41" i="54"/>
  <c r="AI41" i="54"/>
  <c r="AP41" i="54"/>
  <c r="AO41" i="54"/>
  <c r="AN41" i="54"/>
  <c r="AM41" i="54"/>
  <c r="BN41" i="54"/>
  <c r="AL41" i="54"/>
  <c r="AR41" i="54"/>
  <c r="AK41" i="54"/>
  <c r="AJ41" i="54"/>
  <c r="Z24" i="54"/>
  <c r="AE24" i="54"/>
  <c r="AF24" i="54"/>
  <c r="Y24" i="54"/>
  <c r="AB24" i="54"/>
  <c r="AC24" i="54"/>
  <c r="AG24" i="54"/>
  <c r="AD24" i="54"/>
  <c r="AA24" i="54"/>
  <c r="P24" i="54"/>
  <c r="BD24" i="54" s="1"/>
  <c r="AH24" i="54"/>
  <c r="T26" i="53"/>
  <c r="V26" i="53" s="1"/>
  <c r="X24" i="53"/>
  <c r="BL27" i="53"/>
  <c r="I29" i="53"/>
  <c r="K28" i="53"/>
  <c r="L28" i="53" s="1"/>
  <c r="Y25" i="51"/>
  <c r="AA25" i="51"/>
  <c r="P25" i="51"/>
  <c r="BD25" i="51" s="1"/>
  <c r="Z25" i="51"/>
  <c r="AH25" i="51"/>
  <c r="T25" i="52"/>
  <c r="V25" i="52" s="1"/>
  <c r="X24" i="52"/>
  <c r="N37" i="51"/>
  <c r="BF37" i="51" s="1"/>
  <c r="BC36" i="51"/>
  <c r="BL36" i="51"/>
  <c r="F23" i="39"/>
  <c r="F26" i="39" s="1"/>
  <c r="F31" i="39"/>
  <c r="F27" i="39"/>
  <c r="F32" i="39"/>
  <c r="F55" i="39"/>
  <c r="F28" i="39"/>
  <c r="F33" i="39"/>
  <c r="F16" i="39"/>
  <c r="T26" i="54" l="1"/>
  <c r="V26" i="54" s="1"/>
  <c r="AE26" i="51"/>
  <c r="AB26" i="51"/>
  <c r="AF26" i="51"/>
  <c r="AD26" i="51"/>
  <c r="AC26" i="51"/>
  <c r="BH28" i="53"/>
  <c r="BH40" i="53" s="1"/>
  <c r="BG37" i="51"/>
  <c r="A25" i="51"/>
  <c r="A24" i="54"/>
  <c r="P25" i="54"/>
  <c r="BD25" i="54" s="1"/>
  <c r="AC25" i="54"/>
  <c r="AA25" i="54"/>
  <c r="Y25" i="54"/>
  <c r="AB25" i="54"/>
  <c r="AH25" i="54"/>
  <c r="AG25" i="54"/>
  <c r="AD25" i="54"/>
  <c r="Z25" i="54"/>
  <c r="AF25" i="54"/>
  <c r="AE25" i="54"/>
  <c r="BN42" i="54"/>
  <c r="AL42" i="54"/>
  <c r="AL54" i="54" s="1"/>
  <c r="AK42" i="54"/>
  <c r="AK54" i="54" s="1"/>
  <c r="AR42" i="54"/>
  <c r="AR54" i="54" s="1"/>
  <c r="AJ42" i="54"/>
  <c r="AJ54" i="54" s="1"/>
  <c r="AQ42" i="54"/>
  <c r="AQ54" i="54" s="1"/>
  <c r="AI42" i="54"/>
  <c r="AI54" i="54" s="1"/>
  <c r="AP42" i="54"/>
  <c r="AP54" i="54" s="1"/>
  <c r="AO42" i="54"/>
  <c r="AO54" i="54" s="1"/>
  <c r="AN42" i="54"/>
  <c r="AN54" i="54" s="1"/>
  <c r="AM42" i="54"/>
  <c r="AM54" i="54" s="1"/>
  <c r="T33" i="54"/>
  <c r="X32" i="54"/>
  <c r="AD24" i="53"/>
  <c r="AD25" i="53" s="1"/>
  <c r="F694" i="43" s="1"/>
  <c r="AG24" i="53"/>
  <c r="AG25" i="53" s="1"/>
  <c r="AB24" i="53"/>
  <c r="AB25" i="53" s="1"/>
  <c r="F692" i="43" s="1"/>
  <c r="Y24" i="53"/>
  <c r="AF24" i="53"/>
  <c r="AF25" i="53" s="1"/>
  <c r="Z24" i="53"/>
  <c r="Z25" i="53" s="1"/>
  <c r="P24" i="53"/>
  <c r="BD24" i="53" s="1"/>
  <c r="BD25" i="53" s="1"/>
  <c r="AE24" i="53"/>
  <c r="AE25" i="53" s="1"/>
  <c r="AC24" i="53"/>
  <c r="AC25" i="53" s="1"/>
  <c r="F693" i="43" s="1"/>
  <c r="AH24" i="53"/>
  <c r="AH25" i="53" s="1"/>
  <c r="AA24" i="53"/>
  <c r="AA25" i="53" s="1"/>
  <c r="F691" i="43" s="1"/>
  <c r="I30" i="53"/>
  <c r="K29" i="53"/>
  <c r="L29" i="53" s="1"/>
  <c r="BF29" i="53" s="1"/>
  <c r="U25" i="52"/>
  <c r="W25" i="52" s="1"/>
  <c r="AH24" i="52"/>
  <c r="Z24" i="52"/>
  <c r="P24" i="52"/>
  <c r="BD24" i="52" s="1"/>
  <c r="AG24" i="52"/>
  <c r="Y24" i="52"/>
  <c r="AF24" i="52"/>
  <c r="AE24" i="52"/>
  <c r="AD24" i="52"/>
  <c r="AC24" i="52"/>
  <c r="AA24" i="52"/>
  <c r="AB24" i="52"/>
  <c r="BL37" i="51"/>
  <c r="N38" i="51"/>
  <c r="BL38" i="51" s="1"/>
  <c r="AH26" i="51"/>
  <c r="Z26" i="51"/>
  <c r="P26" i="51"/>
  <c r="BD26" i="51" s="1"/>
  <c r="AG26" i="51"/>
  <c r="AA26" i="51"/>
  <c r="Y26" i="51"/>
  <c r="F41" i="39"/>
  <c r="F38" i="39"/>
  <c r="U26" i="54" l="1"/>
  <c r="W26" i="54" s="1"/>
  <c r="F705" i="43"/>
  <c r="F699" i="43"/>
  <c r="F706" i="43"/>
  <c r="F707" i="43"/>
  <c r="F708" i="43"/>
  <c r="U33" i="54"/>
  <c r="W33" i="54" s="1"/>
  <c r="V33" i="54"/>
  <c r="Y25" i="53"/>
  <c r="A25" i="53" s="1"/>
  <c r="A24" i="53"/>
  <c r="A24" i="52"/>
  <c r="A26" i="51"/>
  <c r="A25" i="54"/>
  <c r="T27" i="54"/>
  <c r="V27" i="54" s="1"/>
  <c r="X26" i="54"/>
  <c r="AI58" i="54"/>
  <c r="Y32" i="54"/>
  <c r="AH32" i="54"/>
  <c r="AE32" i="54"/>
  <c r="AG32" i="54"/>
  <c r="AD32" i="54"/>
  <c r="AC32" i="54"/>
  <c r="Z32" i="54"/>
  <c r="AA32" i="54"/>
  <c r="P32" i="54"/>
  <c r="BD32" i="54" s="1"/>
  <c r="AF32" i="54"/>
  <c r="AB32" i="54"/>
  <c r="T27" i="53"/>
  <c r="V27" i="53" s="1"/>
  <c r="X26" i="53"/>
  <c r="BL29" i="53"/>
  <c r="K30" i="53"/>
  <c r="L30" i="53" s="1"/>
  <c r="BF30" i="53" s="1"/>
  <c r="X25" i="52"/>
  <c r="T26" i="52"/>
  <c r="V26" i="52" s="1"/>
  <c r="F713" i="43" l="1"/>
  <c r="A32" i="54"/>
  <c r="AV26" i="54"/>
  <c r="AY26" i="54"/>
  <c r="AU26" i="54"/>
  <c r="BB26" i="54"/>
  <c r="BA26" i="54"/>
  <c r="AX26" i="54"/>
  <c r="AT26" i="54"/>
  <c r="AS26" i="54"/>
  <c r="AW26" i="54"/>
  <c r="AZ26" i="54"/>
  <c r="AA26" i="54"/>
  <c r="AB26" i="54"/>
  <c r="AD26" i="54"/>
  <c r="Y26" i="54"/>
  <c r="AH26" i="54"/>
  <c r="AC26" i="54"/>
  <c r="BD26" i="54"/>
  <c r="Z26" i="54"/>
  <c r="AG26" i="54"/>
  <c r="AF26" i="54"/>
  <c r="AE26" i="54"/>
  <c r="U27" i="54"/>
  <c r="W27" i="54" s="1"/>
  <c r="T34" i="54"/>
  <c r="X33" i="54"/>
  <c r="P33" i="54" s="1"/>
  <c r="AD26" i="53"/>
  <c r="Y26" i="53"/>
  <c r="AE26" i="53"/>
  <c r="AA26" i="53"/>
  <c r="AB26" i="53"/>
  <c r="P26" i="53"/>
  <c r="BD26" i="53" s="1"/>
  <c r="AC26" i="53"/>
  <c r="AH26" i="53"/>
  <c r="Z26" i="53"/>
  <c r="AG26" i="53"/>
  <c r="AF26" i="53"/>
  <c r="U27" i="53"/>
  <c r="W27" i="53" s="1"/>
  <c r="BL30" i="53"/>
  <c r="I31" i="53"/>
  <c r="AZ27" i="53"/>
  <c r="AY27" i="53"/>
  <c r="AX27" i="53"/>
  <c r="AW27" i="53"/>
  <c r="AV27" i="53"/>
  <c r="AU27" i="53"/>
  <c r="BB27" i="53"/>
  <c r="AT27" i="53"/>
  <c r="BA27" i="53"/>
  <c r="AS27" i="53"/>
  <c r="AD25" i="52"/>
  <c r="AC25" i="52"/>
  <c r="AB25" i="52"/>
  <c r="AA25" i="52"/>
  <c r="AH25" i="52"/>
  <c r="Z25" i="52"/>
  <c r="P25" i="52"/>
  <c r="BD25" i="52" s="1"/>
  <c r="AG25" i="52"/>
  <c r="Y25" i="52"/>
  <c r="AE25" i="52"/>
  <c r="AF25" i="52"/>
  <c r="U26" i="52"/>
  <c r="W26" i="52" s="1"/>
  <c r="U34" i="54" l="1"/>
  <c r="W34" i="54" s="1"/>
  <c r="V34" i="54"/>
  <c r="A26" i="53"/>
  <c r="A25" i="52"/>
  <c r="A26" i="54"/>
  <c r="T28" i="54"/>
  <c r="V28" i="54" s="1"/>
  <c r="X27" i="54"/>
  <c r="AC33" i="54"/>
  <c r="AG33" i="54"/>
  <c r="BD33" i="54"/>
  <c r="AF33" i="54"/>
  <c r="AD33" i="54"/>
  <c r="Y33" i="54"/>
  <c r="AA33" i="54"/>
  <c r="AH33" i="54"/>
  <c r="AE33" i="54"/>
  <c r="AB33" i="54"/>
  <c r="Z33" i="54"/>
  <c r="T28" i="53"/>
  <c r="V28" i="53" s="1"/>
  <c r="X27" i="53"/>
  <c r="L31" i="53"/>
  <c r="BF31" i="53" s="1"/>
  <c r="T27" i="52"/>
  <c r="V27" i="52" s="1"/>
  <c r="X26" i="52"/>
  <c r="A33" i="54" l="1"/>
  <c r="AY27" i="54"/>
  <c r="AX27" i="54"/>
  <c r="BA27" i="54"/>
  <c r="AV27" i="54"/>
  <c r="AT27" i="54"/>
  <c r="AS27" i="54"/>
  <c r="AW27" i="54"/>
  <c r="AZ27" i="54"/>
  <c r="AU27" i="54"/>
  <c r="BB27" i="54"/>
  <c r="AD27" i="54"/>
  <c r="Y27" i="54"/>
  <c r="Z27" i="54"/>
  <c r="AF27" i="54"/>
  <c r="AG27" i="54"/>
  <c r="AH27" i="54"/>
  <c r="P27" i="54"/>
  <c r="BD27" i="54" s="1"/>
  <c r="AC27" i="54"/>
  <c r="AA27" i="54"/>
  <c r="AB27" i="54"/>
  <c r="AE27" i="54"/>
  <c r="U28" i="54"/>
  <c r="W28" i="54" s="1"/>
  <c r="T35" i="54"/>
  <c r="X34" i="54"/>
  <c r="P34" i="54" s="1"/>
  <c r="AF27" i="53"/>
  <c r="Y27" i="53"/>
  <c r="AC27" i="53"/>
  <c r="AD27" i="53"/>
  <c r="AH27" i="53"/>
  <c r="AE27" i="53"/>
  <c r="Z27" i="53"/>
  <c r="AB27" i="53"/>
  <c r="AG27" i="53"/>
  <c r="AA27" i="53"/>
  <c r="P27" i="53"/>
  <c r="BD27" i="53" s="1"/>
  <c r="U28" i="53"/>
  <c r="W28" i="53" s="1"/>
  <c r="BL31" i="53"/>
  <c r="I32" i="53"/>
  <c r="AU28" i="53"/>
  <c r="BA28" i="53"/>
  <c r="AS28" i="53"/>
  <c r="AZ28" i="53"/>
  <c r="AY28" i="53"/>
  <c r="AX28" i="53"/>
  <c r="AV28" i="53"/>
  <c r="AT28" i="53"/>
  <c r="AW28" i="53"/>
  <c r="BB28" i="53"/>
  <c r="AV26" i="52"/>
  <c r="AZ26" i="52"/>
  <c r="AX26" i="52"/>
  <c r="AY26" i="52"/>
  <c r="AT26" i="52"/>
  <c r="AW26" i="52"/>
  <c r="AS26" i="52"/>
  <c r="AU26" i="52"/>
  <c r="BA26" i="52"/>
  <c r="BB26" i="52"/>
  <c r="U27" i="52"/>
  <c r="W27" i="52" s="1"/>
  <c r="AH26" i="52"/>
  <c r="Z26" i="52"/>
  <c r="P26" i="52"/>
  <c r="BD26" i="52" s="1"/>
  <c r="AG26" i="52"/>
  <c r="Y26" i="52"/>
  <c r="AF26" i="52"/>
  <c r="AE26" i="52"/>
  <c r="AD26" i="52"/>
  <c r="AC26" i="52"/>
  <c r="AA26" i="52"/>
  <c r="AB26" i="52"/>
  <c r="U35" i="54" l="1"/>
  <c r="W35" i="54" s="1"/>
  <c r="V35" i="54"/>
  <c r="A27" i="54"/>
  <c r="A27" i="53"/>
  <c r="A26" i="52"/>
  <c r="X28" i="54"/>
  <c r="T29" i="54"/>
  <c r="V29" i="54" s="1"/>
  <c r="AC34" i="54"/>
  <c r="AA34" i="54"/>
  <c r="AG34" i="54"/>
  <c r="Y34" i="54"/>
  <c r="AB34" i="54"/>
  <c r="AE34" i="54"/>
  <c r="AD34" i="54"/>
  <c r="AH34" i="54"/>
  <c r="Z34" i="54"/>
  <c r="AF34" i="54"/>
  <c r="BD34" i="54"/>
  <c r="T29" i="53"/>
  <c r="V29" i="53" s="1"/>
  <c r="X28" i="53"/>
  <c r="K32" i="53"/>
  <c r="L32" i="53" s="1"/>
  <c r="BF32" i="53" s="1"/>
  <c r="X27" i="52"/>
  <c r="T28" i="52"/>
  <c r="V28" i="52" s="1"/>
  <c r="A34" i="54" l="1"/>
  <c r="BB28" i="54"/>
  <c r="AT28" i="54"/>
  <c r="AY28" i="54"/>
  <c r="AV28" i="54"/>
  <c r="AZ28" i="54"/>
  <c r="BA28" i="54"/>
  <c r="AU28" i="54"/>
  <c r="AX28" i="54"/>
  <c r="AW28" i="54"/>
  <c r="AS28" i="54"/>
  <c r="AE28" i="54"/>
  <c r="Y28" i="54"/>
  <c r="AB28" i="54"/>
  <c r="AC28" i="54"/>
  <c r="Z28" i="54"/>
  <c r="AH28" i="54"/>
  <c r="AA28" i="54"/>
  <c r="AD28" i="54"/>
  <c r="AF28" i="54"/>
  <c r="P28" i="54"/>
  <c r="BD28" i="54" s="1"/>
  <c r="AG28" i="54"/>
  <c r="AC28" i="53"/>
  <c r="AA28" i="53"/>
  <c r="AG28" i="53"/>
  <c r="P28" i="53"/>
  <c r="BD28" i="53" s="1"/>
  <c r="Z28" i="53"/>
  <c r="AF28" i="53"/>
  <c r="AD28" i="53"/>
  <c r="Y28" i="53"/>
  <c r="AH28" i="53"/>
  <c r="AE28" i="53"/>
  <c r="AB28" i="53"/>
  <c r="BL32" i="53"/>
  <c r="I33" i="53"/>
  <c r="AV29" i="53"/>
  <c r="BB29" i="53"/>
  <c r="AZ29" i="53"/>
  <c r="AT29" i="53"/>
  <c r="AU29" i="53"/>
  <c r="AW29" i="53"/>
  <c r="BA29" i="53"/>
  <c r="AY29" i="53"/>
  <c r="AS29" i="53"/>
  <c r="AX29" i="53"/>
  <c r="AU27" i="52"/>
  <c r="AY27" i="52"/>
  <c r="BA27" i="52"/>
  <c r="AZ27" i="52"/>
  <c r="AS27" i="52"/>
  <c r="AT27" i="52"/>
  <c r="AW27" i="52"/>
  <c r="AV27" i="52"/>
  <c r="AX27" i="52"/>
  <c r="BB27" i="52"/>
  <c r="AD27" i="52"/>
  <c r="AC27" i="52"/>
  <c r="AB27" i="52"/>
  <c r="AA27" i="52"/>
  <c r="AH27" i="52"/>
  <c r="Z27" i="52"/>
  <c r="P27" i="52"/>
  <c r="BD27" i="52" s="1"/>
  <c r="AG27" i="52"/>
  <c r="Y27" i="52"/>
  <c r="AE27" i="52"/>
  <c r="AF27" i="52"/>
  <c r="U28" i="52"/>
  <c r="W28" i="52" s="1"/>
  <c r="A28" i="53" l="1"/>
  <c r="A27" i="52"/>
  <c r="A28" i="54"/>
  <c r="T30" i="54"/>
  <c r="V30" i="54" s="1"/>
  <c r="X29" i="54"/>
  <c r="T30" i="53"/>
  <c r="V30" i="53" s="1"/>
  <c r="X29" i="53"/>
  <c r="I34" i="53"/>
  <c r="K33" i="53"/>
  <c r="L33" i="53" s="1"/>
  <c r="BF33" i="53" s="1"/>
  <c r="T29" i="52"/>
  <c r="V29" i="52" s="1"/>
  <c r="X28" i="52"/>
  <c r="AX29" i="54" l="1"/>
  <c r="BA29" i="54"/>
  <c r="AT29" i="54"/>
  <c r="AV29" i="54"/>
  <c r="AW29" i="54"/>
  <c r="AS29" i="54"/>
  <c r="AU29" i="54"/>
  <c r="AY29" i="54"/>
  <c r="BB29" i="54"/>
  <c r="AZ29" i="54"/>
  <c r="Y29" i="54"/>
  <c r="Z29" i="54"/>
  <c r="AF29" i="54"/>
  <c r="AH29" i="54"/>
  <c r="AA29" i="54"/>
  <c r="AD29" i="54"/>
  <c r="AB29" i="54"/>
  <c r="P29" i="54"/>
  <c r="BD29" i="54" s="1"/>
  <c r="AE29" i="54"/>
  <c r="AC29" i="54"/>
  <c r="AG29" i="54"/>
  <c r="U30" i="54"/>
  <c r="W30" i="54" s="1"/>
  <c r="AH29" i="53"/>
  <c r="AD29" i="53"/>
  <c r="AC29" i="53"/>
  <c r="AA29" i="53"/>
  <c r="AF29" i="53"/>
  <c r="AE29" i="53"/>
  <c r="Y29" i="53"/>
  <c r="AB29" i="53"/>
  <c r="Z29" i="53"/>
  <c r="P29" i="53"/>
  <c r="BD29" i="53" s="1"/>
  <c r="AG29" i="53"/>
  <c r="U30" i="53"/>
  <c r="W30" i="53" s="1"/>
  <c r="I35" i="53"/>
  <c r="K34" i="53"/>
  <c r="L34" i="53" s="1"/>
  <c r="BF34" i="53" s="1"/>
  <c r="BL33" i="53"/>
  <c r="BA30" i="53"/>
  <c r="AY30" i="53"/>
  <c r="AU30" i="53"/>
  <c r="AT30" i="53"/>
  <c r="AX30" i="53"/>
  <c r="AS30" i="53"/>
  <c r="AW30" i="53"/>
  <c r="AZ30" i="53"/>
  <c r="AV30" i="53"/>
  <c r="BB30" i="53"/>
  <c r="AZ28" i="52"/>
  <c r="BA28" i="52"/>
  <c r="AV28" i="52"/>
  <c r="BB28" i="52"/>
  <c r="AY28" i="52"/>
  <c r="AU28" i="52"/>
  <c r="AS28" i="52"/>
  <c r="AT28" i="52"/>
  <c r="AX28" i="52"/>
  <c r="AW28" i="52"/>
  <c r="U29" i="52"/>
  <c r="W29" i="52" s="1"/>
  <c r="AH28" i="52"/>
  <c r="Z28" i="52"/>
  <c r="P28" i="52"/>
  <c r="BD28" i="52" s="1"/>
  <c r="AG28" i="52"/>
  <c r="Y28" i="52"/>
  <c r="AF28" i="52"/>
  <c r="AE28" i="52"/>
  <c r="AD28" i="52"/>
  <c r="AC28" i="52"/>
  <c r="AA28" i="52"/>
  <c r="AB28" i="52"/>
  <c r="A29" i="53" l="1"/>
  <c r="A28" i="52"/>
  <c r="A29" i="54"/>
  <c r="X30" i="54"/>
  <c r="Y36" i="54"/>
  <c r="AH36" i="54"/>
  <c r="Z36" i="54"/>
  <c r="AF36" i="54"/>
  <c r="P36" i="54"/>
  <c r="BD36" i="54" s="1"/>
  <c r="AD36" i="54"/>
  <c r="AE36" i="54"/>
  <c r="AC36" i="54"/>
  <c r="AA36" i="54"/>
  <c r="AG36" i="54"/>
  <c r="AB36" i="54"/>
  <c r="T31" i="53"/>
  <c r="V31" i="53" s="1"/>
  <c r="X30" i="53"/>
  <c r="BL34" i="53"/>
  <c r="K35" i="53"/>
  <c r="L35" i="53" s="1"/>
  <c r="BF35" i="53" s="1"/>
  <c r="X29" i="52"/>
  <c r="T30" i="52"/>
  <c r="V30" i="52" s="1"/>
  <c r="BB30" i="54" l="1"/>
  <c r="BB31" i="54" s="1"/>
  <c r="BA30" i="54"/>
  <c r="BA31" i="54" s="1"/>
  <c r="AU30" i="54"/>
  <c r="AU31" i="54" s="1"/>
  <c r="AS30" i="54"/>
  <c r="AS31" i="54" s="1"/>
  <c r="AW30" i="54"/>
  <c r="AW31" i="54" s="1"/>
  <c r="AY30" i="54"/>
  <c r="AY31" i="54" s="1"/>
  <c r="AZ30" i="54"/>
  <c r="AZ31" i="54" s="1"/>
  <c r="AV30" i="54"/>
  <c r="AV31" i="54" s="1"/>
  <c r="AT30" i="54"/>
  <c r="AT31" i="54" s="1"/>
  <c r="AX30" i="54"/>
  <c r="AX31" i="54" s="1"/>
  <c r="AC30" i="54"/>
  <c r="AC31" i="54" s="1"/>
  <c r="AH30" i="54"/>
  <c r="AH31" i="54" s="1"/>
  <c r="Z30" i="54"/>
  <c r="Z31" i="54" s="1"/>
  <c r="AF30" i="54"/>
  <c r="AF31" i="54" s="1"/>
  <c r="Y30" i="54"/>
  <c r="AA30" i="54"/>
  <c r="AA31" i="54" s="1"/>
  <c r="P30" i="54"/>
  <c r="BD30" i="54" s="1"/>
  <c r="BD31" i="54" s="1"/>
  <c r="AG30" i="54"/>
  <c r="AG31" i="54" s="1"/>
  <c r="AD30" i="54"/>
  <c r="AD31" i="54" s="1"/>
  <c r="AB30" i="54"/>
  <c r="AB31" i="54" s="1"/>
  <c r="AE30" i="54"/>
  <c r="AE31" i="54" s="1"/>
  <c r="Z30" i="53"/>
  <c r="AH30" i="53"/>
  <c r="AD30" i="53"/>
  <c r="AG30" i="53"/>
  <c r="P30" i="53"/>
  <c r="BD30" i="53" s="1"/>
  <c r="AC30" i="53"/>
  <c r="AF30" i="53"/>
  <c r="AB30" i="53"/>
  <c r="AE30" i="53"/>
  <c r="Y30" i="53"/>
  <c r="AA30" i="53"/>
  <c r="BL35" i="53"/>
  <c r="I36" i="53"/>
  <c r="AT31" i="53"/>
  <c r="AU31" i="53"/>
  <c r="BA31" i="53"/>
  <c r="AY31" i="53"/>
  <c r="AS31" i="53"/>
  <c r="AW31" i="53"/>
  <c r="AV31" i="53"/>
  <c r="BB31" i="53"/>
  <c r="AZ31" i="53"/>
  <c r="AX31" i="53"/>
  <c r="AX29" i="52"/>
  <c r="AS29" i="52"/>
  <c r="AT29" i="52"/>
  <c r="AU29" i="52"/>
  <c r="BA29" i="52"/>
  <c r="AY29" i="52"/>
  <c r="AV29" i="52"/>
  <c r="AW29" i="52"/>
  <c r="AZ29" i="52"/>
  <c r="BB29" i="52"/>
  <c r="AD29" i="52"/>
  <c r="AC29" i="52"/>
  <c r="AB29" i="52"/>
  <c r="AA29" i="52"/>
  <c r="AH29" i="52"/>
  <c r="Z29" i="52"/>
  <c r="P29" i="52"/>
  <c r="BD29" i="52" s="1"/>
  <c r="AG29" i="52"/>
  <c r="Y29" i="52"/>
  <c r="AE29" i="52"/>
  <c r="AF29" i="52"/>
  <c r="F13" i="39"/>
  <c r="F36" i="39" s="1"/>
  <c r="F44" i="39"/>
  <c r="F58" i="39" s="1"/>
  <c r="F18" i="39"/>
  <c r="F43" i="39"/>
  <c r="A30" i="53" l="1"/>
  <c r="A29" i="52"/>
  <c r="Y31" i="54"/>
  <c r="A30" i="54"/>
  <c r="Y37" i="54"/>
  <c r="AH37" i="54"/>
  <c r="AF37" i="54"/>
  <c r="AD37" i="54"/>
  <c r="AB37" i="54"/>
  <c r="Z37" i="54"/>
  <c r="AE37" i="54"/>
  <c r="P37" i="54"/>
  <c r="BD37" i="54" s="1"/>
  <c r="AG37" i="54"/>
  <c r="AC37" i="54"/>
  <c r="AA37" i="54"/>
  <c r="X31" i="53"/>
  <c r="T32" i="53"/>
  <c r="V32" i="53" s="1"/>
  <c r="K36" i="53"/>
  <c r="L36" i="53" s="1"/>
  <c r="T31" i="52"/>
  <c r="V31" i="52" s="1"/>
  <c r="X30" i="52"/>
  <c r="F14" i="39"/>
  <c r="F52" i="39"/>
  <c r="F50" i="39"/>
  <c r="F57" i="39"/>
  <c r="F59" i="39"/>
  <c r="F49" i="39"/>
  <c r="F51" i="39"/>
  <c r="F63" i="39"/>
  <c r="F48" i="39"/>
  <c r="BF36" i="53" l="1"/>
  <c r="A31" i="54"/>
  <c r="U32" i="53"/>
  <c r="W32" i="53" s="1"/>
  <c r="AD31" i="53"/>
  <c r="Y31" i="53"/>
  <c r="P31" i="53"/>
  <c r="BD31" i="53" s="1"/>
  <c r="AA31" i="53"/>
  <c r="AG31" i="53"/>
  <c r="AC31" i="53"/>
  <c r="Z31" i="53"/>
  <c r="AE31" i="53"/>
  <c r="AH31" i="53"/>
  <c r="AB31" i="53"/>
  <c r="AF31" i="53"/>
  <c r="BL36" i="53"/>
  <c r="I37" i="53"/>
  <c r="AY32" i="53"/>
  <c r="AU32" i="53"/>
  <c r="AV32" i="53"/>
  <c r="AZ32" i="53"/>
  <c r="AT32" i="53"/>
  <c r="AW32" i="53"/>
  <c r="BA32" i="53"/>
  <c r="BB32" i="53"/>
  <c r="AS32" i="53"/>
  <c r="AX32" i="53"/>
  <c r="BB30" i="52"/>
  <c r="AY30" i="52"/>
  <c r="AX30" i="52"/>
  <c r="AT30" i="52"/>
  <c r="BA30" i="52"/>
  <c r="AS30" i="52"/>
  <c r="AV30" i="52"/>
  <c r="AW30" i="52"/>
  <c r="AU30" i="52"/>
  <c r="AZ30" i="52"/>
  <c r="U31" i="52"/>
  <c r="W31" i="52" s="1"/>
  <c r="AH30" i="52"/>
  <c r="Z30" i="52"/>
  <c r="P30" i="52"/>
  <c r="BD30" i="52" s="1"/>
  <c r="AG30" i="52"/>
  <c r="Y30" i="52"/>
  <c r="AF30" i="52"/>
  <c r="AE30" i="52"/>
  <c r="AD30" i="52"/>
  <c r="AC30" i="52"/>
  <c r="AA30" i="52"/>
  <c r="AB30" i="52"/>
  <c r="BB36" i="51"/>
  <c r="AZ36" i="51"/>
  <c r="AX36" i="51"/>
  <c r="AV36" i="51"/>
  <c r="AT36" i="51"/>
  <c r="BA36" i="51"/>
  <c r="AY36" i="51"/>
  <c r="AW36" i="51"/>
  <c r="AU36" i="51"/>
  <c r="AS36" i="51"/>
  <c r="F37" i="39"/>
  <c r="A31" i="53" l="1"/>
  <c r="A30" i="52"/>
  <c r="Y38" i="54"/>
  <c r="AC38" i="54"/>
  <c r="AF38" i="54"/>
  <c r="AA38" i="54"/>
  <c r="AH38" i="54"/>
  <c r="Z38" i="54"/>
  <c r="AB38" i="54"/>
  <c r="P38" i="54"/>
  <c r="BD38" i="54" s="1"/>
  <c r="AD38" i="54"/>
  <c r="AE38" i="54"/>
  <c r="AG38" i="54"/>
  <c r="X32" i="53"/>
  <c r="T33" i="53"/>
  <c r="V33" i="53" s="1"/>
  <c r="K37" i="53"/>
  <c r="L37" i="53" s="1"/>
  <c r="BF37" i="53" s="1"/>
  <c r="X31" i="52"/>
  <c r="T32" i="52"/>
  <c r="V32" i="52" s="1"/>
  <c r="F40" i="39"/>
  <c r="U33" i="53" l="1"/>
  <c r="W33" i="53" s="1"/>
  <c r="AC32" i="53"/>
  <c r="AF32" i="53"/>
  <c r="Z32" i="53"/>
  <c r="AD32" i="53"/>
  <c r="AG32" i="53"/>
  <c r="AH32" i="53"/>
  <c r="Y32" i="53"/>
  <c r="P32" i="53"/>
  <c r="BD32" i="53" s="1"/>
  <c r="AA32" i="53"/>
  <c r="AB32" i="53"/>
  <c r="AE32" i="53"/>
  <c r="BL37" i="53"/>
  <c r="I38" i="53"/>
  <c r="BA33" i="53"/>
  <c r="AY33" i="53"/>
  <c r="AU33" i="53"/>
  <c r="AS33" i="53"/>
  <c r="BB33" i="53"/>
  <c r="AZ33" i="53"/>
  <c r="AX33" i="53"/>
  <c r="AT33" i="53"/>
  <c r="AV33" i="53"/>
  <c r="AW33" i="53"/>
  <c r="AY31" i="52"/>
  <c r="BA31" i="52"/>
  <c r="AX31" i="52"/>
  <c r="AU31" i="52"/>
  <c r="AW31" i="52"/>
  <c r="BB31" i="52"/>
  <c r="AV31" i="52"/>
  <c r="AS31" i="52"/>
  <c r="AT31" i="52"/>
  <c r="AZ31" i="52"/>
  <c r="U32" i="52"/>
  <c r="W32" i="52" s="1"/>
  <c r="AD31" i="52"/>
  <c r="AC31" i="52"/>
  <c r="AB31" i="52"/>
  <c r="AA31" i="52"/>
  <c r="AH31" i="52"/>
  <c r="Z31" i="52"/>
  <c r="P31" i="52"/>
  <c r="BD31" i="52" s="1"/>
  <c r="AG31" i="52"/>
  <c r="Y31" i="52"/>
  <c r="AE31" i="52"/>
  <c r="AF31" i="52"/>
  <c r="BB37" i="51"/>
  <c r="AZ37" i="51"/>
  <c r="AX37" i="51"/>
  <c r="AV37" i="51"/>
  <c r="AT37" i="51"/>
  <c r="BA37" i="51"/>
  <c r="AY37" i="51"/>
  <c r="AW37" i="51"/>
  <c r="AU37" i="51"/>
  <c r="AS37" i="51"/>
  <c r="A31" i="52" l="1"/>
  <c r="A32" i="53"/>
  <c r="AH39" i="54"/>
  <c r="Y39" i="54"/>
  <c r="AB39" i="54"/>
  <c r="Z39" i="54"/>
  <c r="AF39" i="54"/>
  <c r="AD39" i="54"/>
  <c r="P39" i="54"/>
  <c r="BD39" i="54" s="1"/>
  <c r="AE39" i="54"/>
  <c r="AC39" i="54"/>
  <c r="AA39" i="54"/>
  <c r="AG39" i="54"/>
  <c r="X33" i="53"/>
  <c r="T34" i="53"/>
  <c r="K38" i="53"/>
  <c r="L38" i="53" s="1"/>
  <c r="BF38" i="53" s="1"/>
  <c r="X32" i="52"/>
  <c r="U34" i="53" l="1"/>
  <c r="W34" i="53" s="1"/>
  <c r="V34" i="53"/>
  <c r="AF33" i="53"/>
  <c r="AB33" i="53"/>
  <c r="Y33" i="53"/>
  <c r="AG33" i="53"/>
  <c r="AC33" i="53"/>
  <c r="Z33" i="53"/>
  <c r="AD33" i="53"/>
  <c r="AH33" i="53"/>
  <c r="P33" i="53"/>
  <c r="BD33" i="53" s="1"/>
  <c r="AE33" i="53"/>
  <c r="AA33" i="53"/>
  <c r="BL38" i="53"/>
  <c r="I39" i="53"/>
  <c r="K39" i="53" s="1"/>
  <c r="L39" i="53" s="1"/>
  <c r="BF39" i="53" s="1"/>
  <c r="AV34" i="53"/>
  <c r="AX34" i="53"/>
  <c r="AZ34" i="53"/>
  <c r="AT34" i="53"/>
  <c r="BA34" i="53"/>
  <c r="AU34" i="53"/>
  <c r="AS34" i="53"/>
  <c r="BB34" i="53"/>
  <c r="AY34" i="53"/>
  <c r="AW34" i="53"/>
  <c r="AS32" i="52"/>
  <c r="AV32" i="52"/>
  <c r="BB32" i="52"/>
  <c r="BB33" i="52" s="1"/>
  <c r="AZ32" i="52"/>
  <c r="AU32" i="52"/>
  <c r="AW32" i="52"/>
  <c r="AT32" i="52"/>
  <c r="BA32" i="52"/>
  <c r="AY32" i="52"/>
  <c r="AX32" i="52"/>
  <c r="AH32" i="52"/>
  <c r="Z32" i="52"/>
  <c r="P32" i="52"/>
  <c r="BD32" i="52" s="1"/>
  <c r="AG32" i="52"/>
  <c r="Y32" i="52"/>
  <c r="AF32" i="52"/>
  <c r="AE32" i="52"/>
  <c r="AD32" i="52"/>
  <c r="AC32" i="52"/>
  <c r="AA32" i="52"/>
  <c r="AB32" i="52"/>
  <c r="BB38" i="51"/>
  <c r="AZ38" i="51"/>
  <c r="AX38" i="51"/>
  <c r="AV38" i="51"/>
  <c r="AT38" i="51"/>
  <c r="BA38" i="51"/>
  <c r="AY38" i="51"/>
  <c r="AW38" i="51"/>
  <c r="AU38" i="51"/>
  <c r="AS38" i="51"/>
  <c r="AT33" i="52" l="1"/>
  <c r="F515" i="43" s="1"/>
  <c r="AT41" i="52"/>
  <c r="AT43" i="52" s="1"/>
  <c r="AX33" i="52"/>
  <c r="F518" i="43" s="1"/>
  <c r="F528" i="43" s="1"/>
  <c r="AX41" i="52"/>
  <c r="AX43" i="52" s="1"/>
  <c r="AW33" i="52"/>
  <c r="F517" i="43" s="1"/>
  <c r="F527" i="43" s="1"/>
  <c r="AW41" i="52"/>
  <c r="AW43" i="52" s="1"/>
  <c r="AV33" i="52"/>
  <c r="AV41" i="52"/>
  <c r="AV43" i="52" s="1"/>
  <c r="AY33" i="52"/>
  <c r="F519" i="43" s="1"/>
  <c r="F529" i="43" s="1"/>
  <c r="AY41" i="52"/>
  <c r="AY43" i="52" s="1"/>
  <c r="AU33" i="52"/>
  <c r="F516" i="43" s="1"/>
  <c r="F526" i="43" s="1"/>
  <c r="AU41" i="52"/>
  <c r="AU43" i="52" s="1"/>
  <c r="AS33" i="52"/>
  <c r="AS41" i="52"/>
  <c r="AS43" i="52" s="1"/>
  <c r="BA33" i="52"/>
  <c r="BA41" i="52"/>
  <c r="BA43" i="52" s="1"/>
  <c r="AZ33" i="52"/>
  <c r="AZ41" i="52"/>
  <c r="AZ43" i="52" s="1"/>
  <c r="F525" i="43"/>
  <c r="F521" i="43"/>
  <c r="L40" i="53"/>
  <c r="BF40" i="53"/>
  <c r="A33" i="53"/>
  <c r="A32" i="52"/>
  <c r="AE40" i="54"/>
  <c r="Y40" i="54"/>
  <c r="AH40" i="54"/>
  <c r="AA40" i="54"/>
  <c r="AC40" i="54"/>
  <c r="P40" i="54"/>
  <c r="BD40" i="54" s="1"/>
  <c r="Z40" i="54"/>
  <c r="AG40" i="54"/>
  <c r="AB40" i="54"/>
  <c r="AF40" i="54"/>
  <c r="AD40" i="54"/>
  <c r="X34" i="53"/>
  <c r="T35" i="53"/>
  <c r="V35" i="53" s="1"/>
  <c r="BL39" i="53"/>
  <c r="AS36" i="52"/>
  <c r="AS41" i="51"/>
  <c r="F718" i="43" l="1"/>
  <c r="F676" i="43"/>
  <c r="F539" i="43"/>
  <c r="F538" i="43"/>
  <c r="F537" i="43"/>
  <c r="F536" i="43"/>
  <c r="F535" i="43"/>
  <c r="M51" i="53"/>
  <c r="P51" i="53" s="1"/>
  <c r="P47" i="53" s="1"/>
  <c r="F896" i="43" s="1"/>
  <c r="U35" i="53"/>
  <c r="W35" i="53" s="1"/>
  <c r="AF34" i="53"/>
  <c r="Y34" i="53"/>
  <c r="AC34" i="53"/>
  <c r="AA34" i="53"/>
  <c r="P34" i="53"/>
  <c r="BD34" i="53" s="1"/>
  <c r="AB34" i="53"/>
  <c r="AD34" i="53"/>
  <c r="AG34" i="53"/>
  <c r="Z34" i="53"/>
  <c r="AE34" i="53"/>
  <c r="AH34" i="53"/>
  <c r="AW35" i="53"/>
  <c r="AZ35" i="53"/>
  <c r="AT35" i="53"/>
  <c r="AS35" i="53"/>
  <c r="AU35" i="53"/>
  <c r="AY35" i="53"/>
  <c r="BA35" i="53"/>
  <c r="AX35" i="53"/>
  <c r="AV35" i="53"/>
  <c r="BB35" i="53"/>
  <c r="F720" i="43" l="1"/>
  <c r="F751" i="43"/>
  <c r="F668" i="43"/>
  <c r="F675" i="43"/>
  <c r="F667" i="43"/>
  <c r="M59" i="53"/>
  <c r="P59" i="53" s="1"/>
  <c r="P53" i="53" s="1"/>
  <c r="F897" i="43" s="1"/>
  <c r="A34" i="53"/>
  <c r="AH41" i="54"/>
  <c r="AC41" i="54"/>
  <c r="Z41" i="54"/>
  <c r="AF41" i="54"/>
  <c r="P41" i="54"/>
  <c r="BD41" i="54" s="1"/>
  <c r="AB41" i="54"/>
  <c r="AE41" i="54"/>
  <c r="AA41" i="54"/>
  <c r="AG41" i="54"/>
  <c r="Y41" i="54"/>
  <c r="AD41" i="54"/>
  <c r="X35" i="53"/>
  <c r="T36" i="53"/>
  <c r="V36" i="53" s="1"/>
  <c r="F722" i="43" l="1"/>
  <c r="F674" i="43"/>
  <c r="U36" i="53"/>
  <c r="W36" i="53" s="1"/>
  <c r="P35" i="53"/>
  <c r="BD35" i="53" s="1"/>
  <c r="AD35" i="53"/>
  <c r="AC35" i="53"/>
  <c r="AE35" i="53"/>
  <c r="AB35" i="53"/>
  <c r="Z35" i="53"/>
  <c r="Y35" i="53"/>
  <c r="AG35" i="53"/>
  <c r="AH35" i="53"/>
  <c r="AF35" i="53"/>
  <c r="AA35" i="53"/>
  <c r="AS36" i="53"/>
  <c r="AY36" i="53"/>
  <c r="BB36" i="53"/>
  <c r="AX36" i="53"/>
  <c r="AZ36" i="53"/>
  <c r="AU36" i="53"/>
  <c r="AW36" i="53"/>
  <c r="AT36" i="53"/>
  <c r="BA36" i="53"/>
  <c r="AV36" i="53"/>
  <c r="F753" i="43" l="1"/>
  <c r="A35" i="53"/>
  <c r="AC42" i="54"/>
  <c r="AA42" i="54"/>
  <c r="AE42" i="54"/>
  <c r="Y42" i="54"/>
  <c r="AH42" i="54"/>
  <c r="AD42" i="54"/>
  <c r="AB42" i="54"/>
  <c r="Z42" i="54"/>
  <c r="P42" i="54"/>
  <c r="BD42" i="54" s="1"/>
  <c r="AF42" i="54"/>
  <c r="AG42" i="54"/>
  <c r="T37" i="53"/>
  <c r="V37" i="53" s="1"/>
  <c r="X36" i="53"/>
  <c r="AH36" i="53" l="1"/>
  <c r="AH40" i="53" s="1"/>
  <c r="Y36" i="53"/>
  <c r="Z36" i="53"/>
  <c r="Z40" i="53" s="1"/>
  <c r="AD36" i="53"/>
  <c r="AD40" i="53" s="1"/>
  <c r="F689" i="43" s="1"/>
  <c r="AG36" i="53"/>
  <c r="AG40" i="53" s="1"/>
  <c r="AF36" i="53"/>
  <c r="AF40" i="53" s="1"/>
  <c r="AC36" i="53"/>
  <c r="AC40" i="53" s="1"/>
  <c r="F688" i="43" s="1"/>
  <c r="AE36" i="53"/>
  <c r="AE40" i="53" s="1"/>
  <c r="F690" i="43" s="1"/>
  <c r="AB36" i="53"/>
  <c r="AB40" i="53" s="1"/>
  <c r="F687" i="43" s="1"/>
  <c r="P36" i="53"/>
  <c r="BD36" i="53" s="1"/>
  <c r="BD40" i="53" s="1"/>
  <c r="AA36" i="53"/>
  <c r="AA40" i="53" s="1"/>
  <c r="F686" i="43" s="1"/>
  <c r="F702" i="43" l="1"/>
  <c r="F703" i="43"/>
  <c r="F698" i="43"/>
  <c r="F701" i="43"/>
  <c r="F704" i="43"/>
  <c r="Y40" i="53"/>
  <c r="Y43" i="53" s="1"/>
  <c r="A36" i="53"/>
  <c r="P43" i="54"/>
  <c r="BD43" i="54" s="1"/>
  <c r="AA43" i="54"/>
  <c r="AC43" i="54"/>
  <c r="AG43" i="54"/>
  <c r="AH43" i="54"/>
  <c r="Y43" i="54"/>
  <c r="Z43" i="54"/>
  <c r="AB43" i="54"/>
  <c r="AD43" i="54"/>
  <c r="AF43" i="54"/>
  <c r="AE43" i="54"/>
  <c r="X37" i="53"/>
  <c r="T38" i="53"/>
  <c r="V38" i="53" s="1"/>
  <c r="F712" i="43" l="1"/>
  <c r="U38" i="53"/>
  <c r="W38" i="53" s="1"/>
  <c r="BA37" i="53"/>
  <c r="BB37" i="53"/>
  <c r="AX37" i="53"/>
  <c r="AV37" i="53"/>
  <c r="AZ37" i="53"/>
  <c r="AU37" i="53"/>
  <c r="AT37" i="53"/>
  <c r="AS37" i="53"/>
  <c r="AW37" i="53"/>
  <c r="AY37" i="53"/>
  <c r="A37" i="53" l="1"/>
  <c r="Y44" i="54"/>
  <c r="AG44" i="54"/>
  <c r="AB44" i="54"/>
  <c r="P44" i="54"/>
  <c r="BD44" i="54" s="1"/>
  <c r="Z44" i="54"/>
  <c r="AH44" i="54"/>
  <c r="AC44" i="54"/>
  <c r="AE44" i="54"/>
  <c r="AD44" i="54"/>
  <c r="AA44" i="54"/>
  <c r="AF44" i="54"/>
  <c r="T39" i="53"/>
  <c r="V39" i="53" s="1"/>
  <c r="X38" i="53"/>
  <c r="AU38" i="53" l="1"/>
  <c r="BB38" i="53"/>
  <c r="AT38" i="53"/>
  <c r="AX38" i="53"/>
  <c r="BA38" i="53"/>
  <c r="AY38" i="53"/>
  <c r="AZ38" i="53"/>
  <c r="AV38" i="53"/>
  <c r="AS38" i="53"/>
  <c r="AW38" i="53"/>
  <c r="U39" i="53"/>
  <c r="W39" i="53" s="1"/>
  <c r="AD33" i="52"/>
  <c r="AC33" i="52"/>
  <c r="F514" i="43" s="1"/>
  <c r="F541" i="43" s="1"/>
  <c r="AB33" i="52"/>
  <c r="F513" i="43" s="1"/>
  <c r="F540" i="43" s="1"/>
  <c r="AA33" i="52"/>
  <c r="F512" i="43" s="1"/>
  <c r="AH33" i="52"/>
  <c r="Z33" i="52"/>
  <c r="BD33" i="52"/>
  <c r="AG33" i="52"/>
  <c r="Y33" i="52"/>
  <c r="AE33" i="52"/>
  <c r="AF33" i="52"/>
  <c r="F522" i="43" l="1"/>
  <c r="F523" i="43"/>
  <c r="F520" i="43"/>
  <c r="F534" i="43" s="1"/>
  <c r="F524" i="43"/>
  <c r="A38" i="53"/>
  <c r="X39" i="53"/>
  <c r="AV39" i="53" s="1"/>
  <c r="AV40" i="53" s="1"/>
  <c r="AB45" i="54"/>
  <c r="Z45" i="54"/>
  <c r="Y45" i="54"/>
  <c r="AE45" i="54"/>
  <c r="AF45" i="54"/>
  <c r="AC45" i="54"/>
  <c r="AH45" i="54"/>
  <c r="AG45" i="54"/>
  <c r="AA45" i="54"/>
  <c r="P45" i="54"/>
  <c r="BD45" i="54" s="1"/>
  <c r="AD45" i="54"/>
  <c r="Y36" i="52"/>
  <c r="AS39" i="53" l="1"/>
  <c r="AZ39" i="53"/>
  <c r="AZ40" i="53" s="1"/>
  <c r="AY39" i="53"/>
  <c r="AY40" i="53" s="1"/>
  <c r="AU39" i="53"/>
  <c r="AU40" i="53" s="1"/>
  <c r="F696" i="43" s="1"/>
  <c r="BA39" i="53"/>
  <c r="BA40" i="53" s="1"/>
  <c r="AW39" i="53"/>
  <c r="AW40" i="53" s="1"/>
  <c r="BB39" i="53"/>
  <c r="BB40" i="53" s="1"/>
  <c r="AX39" i="53"/>
  <c r="AX40" i="53" s="1"/>
  <c r="F697" i="43" s="1"/>
  <c r="AT39" i="53"/>
  <c r="AT40" i="53" s="1"/>
  <c r="F711" i="43" l="1"/>
  <c r="F710" i="43"/>
  <c r="AS40" i="53"/>
  <c r="A39" i="53"/>
  <c r="AA46" i="54"/>
  <c r="Y46" i="54"/>
  <c r="AF46" i="54"/>
  <c r="P46" i="54"/>
  <c r="BD46" i="54" s="1"/>
  <c r="AD46" i="54"/>
  <c r="AH46" i="54"/>
  <c r="AG46" i="54"/>
  <c r="AE46" i="54"/>
  <c r="Z46" i="54"/>
  <c r="AB46" i="54"/>
  <c r="AC46" i="54"/>
  <c r="F716" i="43" l="1"/>
  <c r="AS43" i="53"/>
  <c r="F695" i="43"/>
  <c r="F715" i="43"/>
  <c r="P47" i="54"/>
  <c r="BD47" i="54" s="1"/>
  <c r="AD47" i="54"/>
  <c r="AB47" i="54"/>
  <c r="AC47" i="54"/>
  <c r="AF47" i="54"/>
  <c r="AH47" i="54"/>
  <c r="AA47" i="54"/>
  <c r="Z47" i="54"/>
  <c r="Y47" i="54"/>
  <c r="AE47" i="54"/>
  <c r="AG47" i="54"/>
  <c r="F700" i="43" l="1"/>
  <c r="F709" i="43"/>
  <c r="P48" i="54"/>
  <c r="BD48" i="54" s="1"/>
  <c r="AF48" i="54"/>
  <c r="Z48" i="54"/>
  <c r="Y48" i="54"/>
  <c r="AA48" i="54"/>
  <c r="AG48" i="54"/>
  <c r="AB48" i="54"/>
  <c r="AH48" i="54"/>
  <c r="AD48" i="54"/>
  <c r="AE48" i="54"/>
  <c r="AC48" i="54"/>
  <c r="F714" i="43" l="1"/>
  <c r="I15" i="49"/>
  <c r="K14" i="49"/>
  <c r="P49" i="54" l="1"/>
  <c r="BD49" i="54" s="1"/>
  <c r="AD49" i="54"/>
  <c r="Z49" i="54"/>
  <c r="AC49" i="54"/>
  <c r="AF49" i="54"/>
  <c r="AB49" i="54"/>
  <c r="AE49" i="54"/>
  <c r="Y49" i="54"/>
  <c r="AG49" i="54"/>
  <c r="AH49" i="54"/>
  <c r="AA49" i="54"/>
  <c r="T15" i="49"/>
  <c r="V15" i="49" s="1"/>
  <c r="L14" i="49"/>
  <c r="BE14" i="49" s="1"/>
  <c r="X14" i="49" l="1"/>
  <c r="AF14" i="49"/>
  <c r="P14" i="49"/>
  <c r="BD14" i="49" s="1"/>
  <c r="AE14" i="49"/>
  <c r="AA14" i="49"/>
  <c r="AH14" i="49"/>
  <c r="AG14" i="49"/>
  <c r="AC14" i="49"/>
  <c r="AD14" i="49"/>
  <c r="AB14" i="49"/>
  <c r="BK14" i="49"/>
  <c r="BC14" i="49"/>
  <c r="Z50" i="54" l="1"/>
  <c r="AD50" i="54"/>
  <c r="P50" i="54"/>
  <c r="BD50" i="54" s="1"/>
  <c r="AH50" i="54"/>
  <c r="Y50" i="54"/>
  <c r="AF50" i="54"/>
  <c r="AG50" i="54"/>
  <c r="AE50" i="54"/>
  <c r="AC50" i="54"/>
  <c r="AB50" i="54"/>
  <c r="AA50" i="54"/>
  <c r="BA14" i="49"/>
  <c r="AY14" i="49"/>
  <c r="AW14" i="49"/>
  <c r="AU14" i="49"/>
  <c r="AS14" i="49"/>
  <c r="BB14" i="49"/>
  <c r="AZ14" i="49"/>
  <c r="AX14" i="49"/>
  <c r="AV14" i="49"/>
  <c r="AT14" i="49"/>
  <c r="K19" i="49"/>
  <c r="I21" i="49"/>
  <c r="K21" i="49" s="1"/>
  <c r="I23" i="49"/>
  <c r="K23" i="49" s="1"/>
  <c r="I25" i="49"/>
  <c r="K25" i="49" s="1"/>
  <c r="K33" i="49"/>
  <c r="I16" i="49"/>
  <c r="K16" i="49" s="1"/>
  <c r="I17" i="49"/>
  <c r="K17" i="49" s="1"/>
  <c r="K20" i="49"/>
  <c r="I22" i="49"/>
  <c r="L22" i="49" s="1"/>
  <c r="BF22" i="49" s="1"/>
  <c r="I24" i="49"/>
  <c r="K24" i="49" s="1"/>
  <c r="K26" i="49"/>
  <c r="K28" i="49"/>
  <c r="K34" i="49"/>
  <c r="K35" i="49"/>
  <c r="K27" i="49"/>
  <c r="K15" i="49"/>
  <c r="A14" i="49" l="1"/>
  <c r="U15" i="49"/>
  <c r="L24" i="49"/>
  <c r="BF24" i="49" s="1"/>
  <c r="L20" i="49"/>
  <c r="BF20" i="49" s="1"/>
  <c r="L16" i="49"/>
  <c r="BE16" i="49" s="1"/>
  <c r="L25" i="49"/>
  <c r="BF25" i="49" s="1"/>
  <c r="L15" i="49"/>
  <c r="BE15" i="49" s="1"/>
  <c r="L26" i="49"/>
  <c r="BF26" i="49" s="1"/>
  <c r="L33" i="49"/>
  <c r="BE33" i="49" s="1"/>
  <c r="L17" i="49"/>
  <c r="BE17" i="49" s="1"/>
  <c r="L27" i="49"/>
  <c r="BF27" i="49" s="1"/>
  <c r="L21" i="49"/>
  <c r="BF21" i="49" s="1"/>
  <c r="L23" i="49"/>
  <c r="BF23" i="49" s="1"/>
  <c r="L28" i="49"/>
  <c r="BF28" i="49" s="1"/>
  <c r="L34" i="49"/>
  <c r="L19" i="49"/>
  <c r="BF19" i="49" s="1"/>
  <c r="L35" i="49"/>
  <c r="AA15" i="49"/>
  <c r="BE26" i="49"/>
  <c r="T16" i="49" l="1"/>
  <c r="V16" i="49" s="1"/>
  <c r="W15" i="49"/>
  <c r="X15" i="49" s="1"/>
  <c r="BA15" i="49" s="1"/>
  <c r="BF36" i="49"/>
  <c r="M45" i="49" s="1"/>
  <c r="P45" i="49" s="1"/>
  <c r="P42" i="49" s="1"/>
  <c r="F338" i="43" s="1"/>
  <c r="AH51" i="54"/>
  <c r="AA51" i="54"/>
  <c r="AG51" i="54"/>
  <c r="Y51" i="54"/>
  <c r="P51" i="54"/>
  <c r="BD51" i="54" s="1"/>
  <c r="AE51" i="54"/>
  <c r="AD51" i="54"/>
  <c r="AC51" i="54"/>
  <c r="AB51" i="54"/>
  <c r="AF51" i="54"/>
  <c r="Z51" i="54"/>
  <c r="BE34" i="49"/>
  <c r="BE27" i="49"/>
  <c r="L36" i="49"/>
  <c r="BE28" i="49"/>
  <c r="AB15" i="49"/>
  <c r="AE15" i="49"/>
  <c r="P15" i="49"/>
  <c r="BD15" i="49" s="1"/>
  <c r="AC15" i="49"/>
  <c r="AH15" i="49"/>
  <c r="AF15" i="49"/>
  <c r="AD15" i="49"/>
  <c r="Y15" i="49"/>
  <c r="AG15" i="49"/>
  <c r="BC34" i="49"/>
  <c r="BK34" i="49"/>
  <c r="BK28" i="49"/>
  <c r="BC28" i="49"/>
  <c r="BK23" i="49"/>
  <c r="BC23" i="49"/>
  <c r="BK33" i="49"/>
  <c r="BC33" i="49"/>
  <c r="BK15" i="49"/>
  <c r="BC15" i="49"/>
  <c r="N36" i="49"/>
  <c r="BK36" i="49" s="1"/>
  <c r="BK25" i="49"/>
  <c r="BC25" i="49"/>
  <c r="BC16" i="49"/>
  <c r="BK16" i="49"/>
  <c r="BK20" i="49"/>
  <c r="BC20" i="49"/>
  <c r="BK24" i="49"/>
  <c r="BC24" i="49"/>
  <c r="BK35" i="49"/>
  <c r="BC35" i="49"/>
  <c r="BK19" i="49"/>
  <c r="BC19" i="49"/>
  <c r="BK22" i="49"/>
  <c r="BC22" i="49"/>
  <c r="BC21" i="49"/>
  <c r="BK21" i="49"/>
  <c r="BK27" i="49"/>
  <c r="BC27" i="49"/>
  <c r="BK17" i="49"/>
  <c r="BC17" i="49"/>
  <c r="BC26" i="49"/>
  <c r="BK26" i="49"/>
  <c r="BE35" i="49"/>
  <c r="Z15" i="49"/>
  <c r="U16" i="49" l="1"/>
  <c r="T17" i="49" s="1"/>
  <c r="V17" i="49" s="1"/>
  <c r="F273" i="43"/>
  <c r="F230" i="43"/>
  <c r="W16" i="49"/>
  <c r="AV15" i="49"/>
  <c r="BE36" i="49"/>
  <c r="F264" i="43" s="1"/>
  <c r="BC36" i="49"/>
  <c r="AU15" i="49"/>
  <c r="AT15" i="49"/>
  <c r="AX15" i="49"/>
  <c r="AZ15" i="49"/>
  <c r="BB15" i="49"/>
  <c r="AS15" i="49"/>
  <c r="AW15" i="49"/>
  <c r="AY15" i="49"/>
  <c r="X16" i="49"/>
  <c r="F228" i="43" l="1"/>
  <c r="F229" i="43"/>
  <c r="F221" i="43"/>
  <c r="F222" i="43"/>
  <c r="F287" i="43"/>
  <c r="F274" i="43"/>
  <c r="A15" i="49"/>
  <c r="AC52" i="54"/>
  <c r="Z52" i="54"/>
  <c r="AG52" i="54"/>
  <c r="AD52" i="54"/>
  <c r="AA52" i="54"/>
  <c r="Y52" i="54"/>
  <c r="AE52" i="54"/>
  <c r="AF52" i="54"/>
  <c r="P52" i="54"/>
  <c r="BD52" i="54" s="1"/>
  <c r="AB52" i="54"/>
  <c r="AH52" i="54"/>
  <c r="BB16" i="49"/>
  <c r="AZ16" i="49"/>
  <c r="AX16" i="49"/>
  <c r="AV16" i="49"/>
  <c r="AT16" i="49"/>
  <c r="BA16" i="49"/>
  <c r="AY16" i="49"/>
  <c r="AW16" i="49"/>
  <c r="AU16" i="49"/>
  <c r="AS16" i="49"/>
  <c r="U17" i="49"/>
  <c r="Y16" i="49"/>
  <c r="AF16" i="49"/>
  <c r="AB16" i="49"/>
  <c r="AA16" i="49"/>
  <c r="AG16" i="49"/>
  <c r="AC16" i="49"/>
  <c r="P16" i="49"/>
  <c r="BD16" i="49" s="1"/>
  <c r="AH16" i="49"/>
  <c r="AD16" i="49"/>
  <c r="AE16" i="49"/>
  <c r="Z16" i="49"/>
  <c r="F289" i="43" l="1"/>
  <c r="F275" i="43"/>
  <c r="T18" i="49"/>
  <c r="V18" i="49" s="1"/>
  <c r="W17" i="49"/>
  <c r="X17" i="49" s="1"/>
  <c r="A16" i="49"/>
  <c r="AA53" i="54"/>
  <c r="AD53" i="54"/>
  <c r="AF53" i="54"/>
  <c r="AE53" i="54"/>
  <c r="AH53" i="54"/>
  <c r="AC53" i="54"/>
  <c r="Y53" i="54"/>
  <c r="P53" i="54"/>
  <c r="BD53" i="54" s="1"/>
  <c r="AG53" i="54"/>
  <c r="AB53" i="54"/>
  <c r="Z53" i="54"/>
  <c r="U18" i="49"/>
  <c r="T19" i="49" l="1"/>
  <c r="V19" i="49" s="1"/>
  <c r="W18" i="49"/>
  <c r="X18" i="49" s="1"/>
  <c r="BA17" i="49"/>
  <c r="AY17" i="49"/>
  <c r="AW17" i="49"/>
  <c r="AU17" i="49"/>
  <c r="AS17" i="49"/>
  <c r="BB17" i="49"/>
  <c r="AZ17" i="49"/>
  <c r="AX17" i="49"/>
  <c r="AV17" i="49"/>
  <c r="AT17" i="49"/>
  <c r="AH17" i="49"/>
  <c r="AA17" i="49"/>
  <c r="P17" i="49"/>
  <c r="BD17" i="49" s="1"/>
  <c r="AG17" i="49"/>
  <c r="AF17" i="49"/>
  <c r="AC17" i="49"/>
  <c r="AB17" i="49"/>
  <c r="AD17" i="49"/>
  <c r="Y17" i="49"/>
  <c r="AE17" i="49"/>
  <c r="Z17" i="49"/>
  <c r="U19" i="49" l="1"/>
  <c r="T20" i="49" s="1"/>
  <c r="V20" i="49" s="1"/>
  <c r="A17" i="49"/>
  <c r="AY18" i="49"/>
  <c r="AU18" i="49"/>
  <c r="BB18" i="49"/>
  <c r="AX18" i="49"/>
  <c r="AT18" i="49"/>
  <c r="AZ18" i="49"/>
  <c r="BA18" i="49"/>
  <c r="AW18" i="49"/>
  <c r="AS18" i="49"/>
  <c r="AV18" i="49"/>
  <c r="W19" i="49" l="1"/>
  <c r="X19" i="49" s="1"/>
  <c r="P19" i="49" s="1"/>
  <c r="BD19" i="49" s="1"/>
  <c r="A18" i="49"/>
  <c r="U20" i="49"/>
  <c r="AF19" i="49" l="1"/>
  <c r="AA19" i="49"/>
  <c r="AH19" i="49"/>
  <c r="AC19" i="49"/>
  <c r="Z19" i="49"/>
  <c r="Y19" i="49"/>
  <c r="A19" i="49" s="1"/>
  <c r="AD19" i="49"/>
  <c r="AG19" i="49"/>
  <c r="AB19" i="49"/>
  <c r="AE19" i="49"/>
  <c r="T21" i="49"/>
  <c r="V21" i="49" s="1"/>
  <c r="W20" i="49"/>
  <c r="X20" i="49" s="1"/>
  <c r="U21" i="49" l="1"/>
  <c r="AG20" i="49"/>
  <c r="AF20" i="49"/>
  <c r="AE20" i="49"/>
  <c r="AB20" i="49"/>
  <c r="AA20" i="49"/>
  <c r="Y20" i="49"/>
  <c r="P20" i="49"/>
  <c r="BD20" i="49" s="1"/>
  <c r="AH20" i="49"/>
  <c r="Z20" i="49"/>
  <c r="AD20" i="49"/>
  <c r="AC20" i="49"/>
  <c r="T22" i="49" l="1"/>
  <c r="V22" i="49" s="1"/>
  <c r="W21" i="49"/>
  <c r="A20" i="49"/>
  <c r="X21" i="49"/>
  <c r="U22" i="49" l="1"/>
  <c r="AG21" i="49"/>
  <c r="AA21" i="49"/>
  <c r="AH21" i="49"/>
  <c r="Y21" i="49"/>
  <c r="AE21" i="49"/>
  <c r="AB21" i="49"/>
  <c r="P21" i="49"/>
  <c r="BD21" i="49" s="1"/>
  <c r="AF21" i="49"/>
  <c r="Z21" i="49"/>
  <c r="AD21" i="49"/>
  <c r="AC21" i="49"/>
  <c r="T23" i="49" l="1"/>
  <c r="W22" i="49"/>
  <c r="X22" i="49" s="1"/>
  <c r="A21" i="49"/>
  <c r="T24" i="49" l="1"/>
  <c r="V23" i="49"/>
  <c r="Y22" i="49"/>
  <c r="AA22" i="49"/>
  <c r="AC22" i="49"/>
  <c r="AE22" i="49"/>
  <c r="AG22" i="49"/>
  <c r="Z22" i="49"/>
  <c r="AF22" i="49"/>
  <c r="AH22" i="49"/>
  <c r="P22" i="49"/>
  <c r="BD22" i="49" s="1"/>
  <c r="AD22" i="49"/>
  <c r="AB22" i="49"/>
  <c r="V24" i="49" l="1"/>
  <c r="U24" i="49"/>
  <c r="A22" i="49"/>
  <c r="X23" i="49"/>
  <c r="T25" i="49" l="1"/>
  <c r="V25" i="49" s="1"/>
  <c r="W24" i="49"/>
  <c r="AG23" i="49"/>
  <c r="Z23" i="49"/>
  <c r="AF23" i="49"/>
  <c r="AH23" i="49"/>
  <c r="P23" i="49"/>
  <c r="BD23" i="49" s="1"/>
  <c r="Y23" i="49"/>
  <c r="AA23" i="49"/>
  <c r="AC23" i="49"/>
  <c r="AE23" i="49"/>
  <c r="AD23" i="49"/>
  <c r="AB23" i="49"/>
  <c r="U25" i="49" l="1"/>
  <c r="T26" i="49" s="1"/>
  <c r="V26" i="49" s="1"/>
  <c r="A23" i="49"/>
  <c r="T27" i="49"/>
  <c r="V27" i="49" s="1"/>
  <c r="X24" i="49"/>
  <c r="W25" i="49" l="1"/>
  <c r="AH24" i="49"/>
  <c r="P24" i="49"/>
  <c r="BD24" i="49" s="1"/>
  <c r="Y24" i="49"/>
  <c r="AA24" i="49"/>
  <c r="AC24" i="49"/>
  <c r="AE24" i="49"/>
  <c r="AG24" i="49"/>
  <c r="Z24" i="49"/>
  <c r="AF24" i="49"/>
  <c r="AD24" i="49"/>
  <c r="AB24" i="49"/>
  <c r="A24" i="49" l="1"/>
  <c r="U27" i="49"/>
  <c r="W27" i="49" s="1"/>
  <c r="X25" i="49"/>
  <c r="T28" i="49" l="1"/>
  <c r="AE25" i="49"/>
  <c r="AA25" i="49"/>
  <c r="AH25" i="49"/>
  <c r="AF25" i="49"/>
  <c r="AD25" i="49"/>
  <c r="AB25" i="49"/>
  <c r="Z25" i="49"/>
  <c r="P25" i="49"/>
  <c r="BD25" i="49" s="1"/>
  <c r="AG25" i="49"/>
  <c r="AC25" i="49"/>
  <c r="Y25" i="49"/>
  <c r="AZ25" i="49"/>
  <c r="BB25" i="49"/>
  <c r="AT25" i="49"/>
  <c r="AV25" i="49"/>
  <c r="AY25" i="49"/>
  <c r="BA25" i="49"/>
  <c r="AS25" i="49"/>
  <c r="AW25" i="49"/>
  <c r="AX25" i="49"/>
  <c r="AU25" i="49"/>
  <c r="U28" i="49" l="1"/>
  <c r="V28" i="49"/>
  <c r="A25" i="49"/>
  <c r="X26" i="49"/>
  <c r="T29" i="49" l="1"/>
  <c r="W28" i="49"/>
  <c r="AF26" i="49"/>
  <c r="AB26" i="49"/>
  <c r="P26" i="49"/>
  <c r="BD26" i="49" s="1"/>
  <c r="AG26" i="49"/>
  <c r="AE26" i="49"/>
  <c r="AC26" i="49"/>
  <c r="AA26" i="49"/>
  <c r="Y26" i="49"/>
  <c r="AH26" i="49"/>
  <c r="AD26" i="49"/>
  <c r="Z26" i="49"/>
  <c r="AZ26" i="49"/>
  <c r="BB26" i="49"/>
  <c r="AT26" i="49"/>
  <c r="AV26" i="49"/>
  <c r="AY26" i="49"/>
  <c r="BA26" i="49"/>
  <c r="AS26" i="49"/>
  <c r="AU26" i="49"/>
  <c r="AX26" i="49"/>
  <c r="AW26" i="49"/>
  <c r="U29" i="49" l="1"/>
  <c r="V29" i="49"/>
  <c r="A26" i="49"/>
  <c r="X27" i="49"/>
  <c r="T30" i="49" l="1"/>
  <c r="W29" i="49"/>
  <c r="X29" i="49" s="1"/>
  <c r="AB29" i="49" s="1"/>
  <c r="AF29" i="49"/>
  <c r="P29" i="49"/>
  <c r="BD29" i="49" s="1"/>
  <c r="Y29" i="49"/>
  <c r="AF27" i="49"/>
  <c r="AG27" i="49"/>
  <c r="AE27" i="49"/>
  <c r="AC27" i="49"/>
  <c r="AA27" i="49"/>
  <c r="Y27" i="49"/>
  <c r="AH27" i="49"/>
  <c r="AD27" i="49"/>
  <c r="AB27" i="49"/>
  <c r="Z27" i="49"/>
  <c r="P27" i="49"/>
  <c r="BD27" i="49" s="1"/>
  <c r="AT27" i="49"/>
  <c r="AV27" i="49"/>
  <c r="AZ27" i="49"/>
  <c r="BB27" i="49"/>
  <c r="AU27" i="49"/>
  <c r="AW27" i="49"/>
  <c r="AY27" i="49"/>
  <c r="BA27" i="49"/>
  <c r="AS27" i="49"/>
  <c r="AX27" i="49"/>
  <c r="AG29" i="49" l="1"/>
  <c r="AA29" i="49"/>
  <c r="AD29" i="49"/>
  <c r="Z29" i="49"/>
  <c r="AH29" i="49"/>
  <c r="AC29" i="49"/>
  <c r="AE29" i="49"/>
  <c r="V30" i="49"/>
  <c r="U30" i="49"/>
  <c r="A27" i="49"/>
  <c r="A29" i="49" l="1"/>
  <c r="W30" i="49"/>
  <c r="T31" i="49"/>
  <c r="X30" i="49"/>
  <c r="X28" i="49"/>
  <c r="Z30" i="49" l="1"/>
  <c r="AG30" i="49"/>
  <c r="AF30" i="49"/>
  <c r="P30" i="49"/>
  <c r="BD30" i="49" s="1"/>
  <c r="AE30" i="49"/>
  <c r="AD30" i="49"/>
  <c r="AC30" i="49"/>
  <c r="AA30" i="49"/>
  <c r="AB30" i="49"/>
  <c r="Y30" i="49"/>
  <c r="AH30" i="49"/>
  <c r="U31" i="49"/>
  <c r="V31" i="49"/>
  <c r="AH28" i="49"/>
  <c r="AF28" i="49"/>
  <c r="AF36" i="49" s="1"/>
  <c r="AD28" i="49"/>
  <c r="AD36" i="49" s="1"/>
  <c r="F244" i="43" s="1"/>
  <c r="AB28" i="49"/>
  <c r="AB36" i="49" s="1"/>
  <c r="F242" i="43" s="1"/>
  <c r="Z28" i="49"/>
  <c r="P28" i="49"/>
  <c r="BD28" i="49" s="1"/>
  <c r="AG28" i="49"/>
  <c r="AG36" i="49" s="1"/>
  <c r="AE28" i="49"/>
  <c r="AE36" i="49" s="1"/>
  <c r="AC28" i="49"/>
  <c r="AA28" i="49"/>
  <c r="Y28" i="49"/>
  <c r="AX28" i="49"/>
  <c r="BB28" i="49"/>
  <c r="AY28" i="49"/>
  <c r="BA28" i="49"/>
  <c r="AW28" i="49"/>
  <c r="AV28" i="49"/>
  <c r="AZ28" i="49"/>
  <c r="AU28" i="49"/>
  <c r="AS28" i="49"/>
  <c r="AT28" i="49"/>
  <c r="AC36" i="49" l="1"/>
  <c r="F243" i="43" s="1"/>
  <c r="AH36" i="49"/>
  <c r="BD36" i="49"/>
  <c r="Z36" i="49"/>
  <c r="F240" i="43" s="1"/>
  <c r="AA36" i="49"/>
  <c r="F241" i="43" s="1"/>
  <c r="F257" i="43"/>
  <c r="F256" i="43"/>
  <c r="F253" i="43"/>
  <c r="F255" i="43"/>
  <c r="W31" i="49"/>
  <c r="X31" i="49" s="1"/>
  <c r="T32" i="49"/>
  <c r="A30" i="49"/>
  <c r="A28" i="49"/>
  <c r="Y36" i="49"/>
  <c r="Y39" i="49" l="1"/>
  <c r="F251" i="43"/>
  <c r="F265" i="43" s="1"/>
  <c r="F254" i="43"/>
  <c r="U32" i="49"/>
  <c r="V32" i="49"/>
  <c r="AY31" i="49"/>
  <c r="BB31" i="49"/>
  <c r="AT31" i="49"/>
  <c r="AW31" i="49"/>
  <c r="AZ31" i="49"/>
  <c r="AU31" i="49"/>
  <c r="AX31" i="49"/>
  <c r="BA31" i="49"/>
  <c r="AS31" i="49"/>
  <c r="AV31" i="49"/>
  <c r="A31" i="49" l="1"/>
  <c r="T33" i="49"/>
  <c r="W32" i="49"/>
  <c r="X32" i="49" s="1"/>
  <c r="BA32" i="49" l="1"/>
  <c r="AS32" i="49"/>
  <c r="AV32" i="49"/>
  <c r="AY32" i="49"/>
  <c r="AT32" i="49"/>
  <c r="AX32" i="49"/>
  <c r="BB32" i="49"/>
  <c r="AW32" i="49"/>
  <c r="AZ32" i="49"/>
  <c r="AU32" i="49"/>
  <c r="U33" i="49"/>
  <c r="V33" i="49"/>
  <c r="W33" i="49" l="1"/>
  <c r="X33" i="49" s="1"/>
  <c r="T34" i="49"/>
  <c r="A32" i="49"/>
  <c r="U34" i="49" l="1"/>
  <c r="V34" i="49"/>
  <c r="AW33" i="49"/>
  <c r="AS33" i="49"/>
  <c r="AZ33" i="49"/>
  <c r="AX33" i="49"/>
  <c r="AY33" i="49"/>
  <c r="AV33" i="49"/>
  <c r="BA33" i="49"/>
  <c r="AT33" i="49"/>
  <c r="AU33" i="49"/>
  <c r="BB33" i="49"/>
  <c r="A33" i="49" l="1"/>
  <c r="W34" i="49"/>
  <c r="X34" i="49" s="1"/>
  <c r="T35" i="49"/>
  <c r="U35" i="49" l="1"/>
  <c r="W35" i="49" s="1"/>
  <c r="V35" i="49"/>
  <c r="BB34" i="49"/>
  <c r="BA34" i="49"/>
  <c r="AZ34" i="49"/>
  <c r="AW34" i="49"/>
  <c r="AU34" i="49"/>
  <c r="AS34" i="49"/>
  <c r="AY34" i="49"/>
  <c r="AV34" i="49"/>
  <c r="AX34" i="49"/>
  <c r="AT34" i="49"/>
  <c r="BC37" i="51"/>
  <c r="L37" i="51"/>
  <c r="L29" i="51"/>
  <c r="BF29" i="51" s="1"/>
  <c r="L33" i="51"/>
  <c r="L27" i="51"/>
  <c r="BC27" i="51" s="1"/>
  <c r="L32" i="51"/>
  <c r="L30" i="51"/>
  <c r="BF30" i="51" s="1"/>
  <c r="L36" i="51"/>
  <c r="U27" i="51"/>
  <c r="X35" i="49" l="1"/>
  <c r="A34" i="49"/>
  <c r="BH37" i="51"/>
  <c r="BE37" i="51"/>
  <c r="T28" i="51"/>
  <c r="V28" i="51" s="1"/>
  <c r="W27" i="51"/>
  <c r="X27" i="51" s="1"/>
  <c r="BH36" i="51"/>
  <c r="BH38" i="51" s="1"/>
  <c r="BE36" i="51"/>
  <c r="BG33" i="51"/>
  <c r="BE33" i="51"/>
  <c r="BG32" i="51"/>
  <c r="BE32" i="51"/>
  <c r="BC38" i="51"/>
  <c r="BL29" i="51"/>
  <c r="BL30" i="51"/>
  <c r="BL32" i="51"/>
  <c r="J29" i="51"/>
  <c r="I30" i="51" s="1"/>
  <c r="L38" i="51"/>
  <c r="BA35" i="49" l="1"/>
  <c r="BA36" i="49" s="1"/>
  <c r="AZ35" i="49"/>
  <c r="AZ36" i="49" s="1"/>
  <c r="AW35" i="49"/>
  <c r="AW36" i="49" s="1"/>
  <c r="F248" i="43" s="1"/>
  <c r="F261" i="43" s="1"/>
  <c r="BB35" i="49"/>
  <c r="BB36" i="49" s="1"/>
  <c r="AY35" i="49"/>
  <c r="AY36" i="49" s="1"/>
  <c r="F250" i="43" s="1"/>
  <c r="F263" i="43" s="1"/>
  <c r="AU35" i="49"/>
  <c r="AU36" i="49" s="1"/>
  <c r="F246" i="43" s="1"/>
  <c r="F259" i="43" s="1"/>
  <c r="F267" i="43" s="1"/>
  <c r="AV35" i="49"/>
  <c r="AV36" i="49" s="1"/>
  <c r="F247" i="43" s="1"/>
  <c r="F260" i="43" s="1"/>
  <c r="F268" i="43" s="1"/>
  <c r="AT35" i="49"/>
  <c r="AT36" i="49" s="1"/>
  <c r="AS35" i="49"/>
  <c r="AX35" i="49"/>
  <c r="AX36" i="49" s="1"/>
  <c r="F249" i="43" s="1"/>
  <c r="F262" i="43" s="1"/>
  <c r="F270" i="43" s="1"/>
  <c r="F269" i="43"/>
  <c r="F271" i="43"/>
  <c r="F364" i="43"/>
  <c r="F391" i="43"/>
  <c r="AD27" i="51"/>
  <c r="AC27" i="51"/>
  <c r="AE27" i="51"/>
  <c r="AB27" i="51"/>
  <c r="AF27" i="51"/>
  <c r="BE38" i="51"/>
  <c r="F388" i="43" s="1"/>
  <c r="BG38" i="51"/>
  <c r="M68" i="51" s="1"/>
  <c r="P68" i="51" s="1"/>
  <c r="P65" i="51" s="1"/>
  <c r="F474" i="43" s="1"/>
  <c r="BF38" i="51"/>
  <c r="M48" i="51" s="1"/>
  <c r="P48" i="51" s="1"/>
  <c r="P45" i="51" s="1"/>
  <c r="F470" i="43" s="1"/>
  <c r="U28" i="51"/>
  <c r="W28" i="51" s="1"/>
  <c r="AH27" i="51"/>
  <c r="AA27" i="51"/>
  <c r="Y27" i="51"/>
  <c r="P27" i="51"/>
  <c r="BD27" i="51" s="1"/>
  <c r="AG27" i="51"/>
  <c r="Z27" i="51"/>
  <c r="J30" i="51"/>
  <c r="I31" i="51" s="1"/>
  <c r="AS36" i="49" l="1"/>
  <c r="A35" i="49"/>
  <c r="F404" i="43"/>
  <c r="F392" i="43"/>
  <c r="F355" i="43"/>
  <c r="F363" i="43"/>
  <c r="A27" i="51"/>
  <c r="J31" i="51"/>
  <c r="I32" i="51" s="1"/>
  <c r="J32" i="51" s="1"/>
  <c r="I33" i="51" s="1"/>
  <c r="X28" i="51"/>
  <c r="T29" i="51"/>
  <c r="V29" i="51" s="1"/>
  <c r="F245" i="43" l="1"/>
  <c r="AS39" i="49"/>
  <c r="F393" i="43"/>
  <c r="F356" i="43"/>
  <c r="AC28" i="51"/>
  <c r="AD28" i="51"/>
  <c r="AF28" i="51"/>
  <c r="AE28" i="51"/>
  <c r="AB28" i="51"/>
  <c r="F362" i="43"/>
  <c r="AH28" i="51"/>
  <c r="Y28" i="51"/>
  <c r="P28" i="51"/>
  <c r="BD28" i="51" s="1"/>
  <c r="AA28" i="51"/>
  <c r="Z28" i="51"/>
  <c r="AG28" i="51"/>
  <c r="U29" i="51"/>
  <c r="W29" i="51" s="1"/>
  <c r="J33" i="51"/>
  <c r="I34" i="51" s="1"/>
  <c r="J34" i="51" s="1"/>
  <c r="I35" i="51" s="1"/>
  <c r="F258" i="43" l="1"/>
  <c r="F266" i="43" s="1"/>
  <c r="F252" i="43"/>
  <c r="F406" i="43"/>
  <c r="A28" i="51"/>
  <c r="J35" i="51"/>
  <c r="I36" i="51" s="1"/>
  <c r="J36" i="51" s="1"/>
  <c r="I37" i="51" s="1"/>
  <c r="T30" i="51"/>
  <c r="V30" i="51" s="1"/>
  <c r="X29" i="51"/>
  <c r="AB29" i="51" l="1"/>
  <c r="AF29" i="51"/>
  <c r="AE29" i="51"/>
  <c r="AC29" i="51"/>
  <c r="AD29" i="51"/>
  <c r="AA29" i="51"/>
  <c r="AH29" i="51"/>
  <c r="Z29" i="51"/>
  <c r="AG29" i="51"/>
  <c r="P29" i="51"/>
  <c r="BD29" i="51" s="1"/>
  <c r="Y29" i="51"/>
  <c r="U30" i="51"/>
  <c r="J37" i="51"/>
  <c r="T31" i="51" l="1"/>
  <c r="V31" i="51" s="1"/>
  <c r="W30" i="51"/>
  <c r="X30" i="51" s="1"/>
  <c r="A29" i="51"/>
  <c r="U31" i="51" l="1"/>
  <c r="W31" i="51" s="1"/>
  <c r="X31" i="51" s="1"/>
  <c r="AE30" i="51"/>
  <c r="AB30" i="51"/>
  <c r="AF30" i="51"/>
  <c r="AC30" i="51"/>
  <c r="AD30" i="51"/>
  <c r="P30" i="51"/>
  <c r="BD30" i="51" s="1"/>
  <c r="Y30" i="51"/>
  <c r="AA30" i="51"/>
  <c r="AH30" i="51"/>
  <c r="AG30" i="51"/>
  <c r="Z30" i="51"/>
  <c r="T32" i="51" l="1"/>
  <c r="AA31" i="51"/>
  <c r="F377" i="43" s="1"/>
  <c r="AD31" i="51"/>
  <c r="AC31" i="51"/>
  <c r="AE31" i="51"/>
  <c r="AB31" i="51"/>
  <c r="AF31" i="51"/>
  <c r="U32" i="51"/>
  <c r="V32" i="51"/>
  <c r="A30" i="51"/>
  <c r="AG31" i="51"/>
  <c r="Z31" i="51"/>
  <c r="AH31" i="51"/>
  <c r="Y31" i="51"/>
  <c r="P31" i="51"/>
  <c r="BD31" i="51" s="1"/>
  <c r="T33" i="51" l="1"/>
  <c r="V33" i="51" s="1"/>
  <c r="W32" i="51"/>
  <c r="X32" i="51" s="1"/>
  <c r="A31" i="51"/>
  <c r="U33" i="51" l="1"/>
  <c r="W33" i="51" s="1"/>
  <c r="X33" i="51" s="1"/>
  <c r="AC32" i="51"/>
  <c r="AA32" i="51"/>
  <c r="AD32" i="51"/>
  <c r="AB32" i="51"/>
  <c r="AE32" i="51"/>
  <c r="AF32" i="51"/>
  <c r="AG32" i="51"/>
  <c r="Z32" i="51"/>
  <c r="AH32" i="51"/>
  <c r="Y32" i="51"/>
  <c r="P32" i="51"/>
  <c r="BD32" i="51" s="1"/>
  <c r="T34" i="51"/>
  <c r="V34" i="51" s="1"/>
  <c r="AB33" i="51" l="1"/>
  <c r="AF33" i="51"/>
  <c r="AE33" i="51"/>
  <c r="AC33" i="51"/>
  <c r="AA33" i="51"/>
  <c r="AD33" i="51"/>
  <c r="A32" i="51"/>
  <c r="U34" i="51"/>
  <c r="W34" i="51" s="1"/>
  <c r="AH33" i="51"/>
  <c r="Z33" i="51"/>
  <c r="AG33" i="51"/>
  <c r="P33" i="51"/>
  <c r="BD33" i="51" s="1"/>
  <c r="Y33" i="51"/>
  <c r="A33" i="51" l="1"/>
  <c r="X34" i="51"/>
  <c r="T35" i="51"/>
  <c r="V35" i="51" s="1"/>
  <c r="AE34" i="51" l="1"/>
  <c r="AA34" i="51"/>
  <c r="AB34" i="51"/>
  <c r="AF34" i="51"/>
  <c r="AC34" i="51"/>
  <c r="AD34" i="51"/>
  <c r="AG34" i="51"/>
  <c r="P34" i="51"/>
  <c r="BD34" i="51" s="1"/>
  <c r="Y34" i="51"/>
  <c r="AH34" i="51"/>
  <c r="Z34" i="51"/>
  <c r="A34" i="51" l="1"/>
  <c r="T36" i="51"/>
  <c r="V36" i="51" s="1"/>
  <c r="X35" i="51"/>
  <c r="AD35" i="51" l="1"/>
  <c r="AE35" i="51"/>
  <c r="AC35" i="51"/>
  <c r="AB35" i="51"/>
  <c r="AF35" i="51"/>
  <c r="Z35" i="51"/>
  <c r="Y35" i="51"/>
  <c r="AA35" i="51"/>
  <c r="P35" i="51"/>
  <c r="BD35" i="51" s="1"/>
  <c r="AG35" i="51"/>
  <c r="AH35" i="51"/>
  <c r="A35" i="51" l="1"/>
  <c r="T37" i="51"/>
  <c r="V37" i="51" s="1"/>
  <c r="X36" i="51"/>
  <c r="AC36" i="51" l="1"/>
  <c r="AB36" i="51"/>
  <c r="AD36" i="51"/>
  <c r="AE36" i="51"/>
  <c r="AF36" i="51"/>
  <c r="Z36" i="51"/>
  <c r="AG36" i="51"/>
  <c r="AA36" i="51"/>
  <c r="Y36" i="51"/>
  <c r="P36" i="51"/>
  <c r="BD36" i="51" s="1"/>
  <c r="AH36" i="51"/>
  <c r="U37" i="51"/>
  <c r="W37" i="51" s="1"/>
  <c r="A36" i="51" l="1"/>
  <c r="X37" i="51"/>
  <c r="AB37" i="51" l="1"/>
  <c r="F379" i="43" s="1"/>
  <c r="AF37" i="51"/>
  <c r="AF38" i="51" s="1"/>
  <c r="AC37" i="51"/>
  <c r="AC38" i="51" s="1"/>
  <c r="F380" i="43" s="1"/>
  <c r="AE37" i="51"/>
  <c r="AE38" i="51" s="1"/>
  <c r="AD37" i="51"/>
  <c r="AD38" i="51" s="1"/>
  <c r="F381" i="43" s="1"/>
  <c r="AA37" i="51"/>
  <c r="AA38" i="51" s="1"/>
  <c r="F376" i="43" s="1"/>
  <c r="AG37" i="51"/>
  <c r="AG38" i="51" s="1"/>
  <c r="Z37" i="51"/>
  <c r="Z38" i="51" s="1"/>
  <c r="F375" i="43" s="1"/>
  <c r="AH37" i="51"/>
  <c r="AH38" i="51" s="1"/>
  <c r="P37" i="51"/>
  <c r="BD37" i="51" s="1"/>
  <c r="BD38" i="51" s="1"/>
  <c r="Y37" i="51"/>
  <c r="AB38" i="51" l="1"/>
  <c r="F378" i="43" s="1"/>
  <c r="F386" i="43"/>
  <c r="F384" i="43"/>
  <c r="F387" i="43"/>
  <c r="F383" i="43"/>
  <c r="Y38" i="51"/>
  <c r="A37" i="51"/>
  <c r="X35" i="54"/>
  <c r="AD35" i="54" s="1"/>
  <c r="AD54" i="54" s="1"/>
  <c r="AD57" i="54" s="1"/>
  <c r="F41" i="43" s="1"/>
  <c r="T36" i="54"/>
  <c r="V36" i="54" s="1"/>
  <c r="Y41" i="51" l="1"/>
  <c r="F385" i="43"/>
  <c r="F382" i="43"/>
  <c r="F52" i="43"/>
  <c r="F68" i="43"/>
  <c r="U36" i="54"/>
  <c r="W36" i="54" s="1"/>
  <c r="AE35" i="54"/>
  <c r="AE54" i="54" s="1"/>
  <c r="AE57" i="54" s="1"/>
  <c r="F42" i="43" s="1"/>
  <c r="AF35" i="54"/>
  <c r="AF54" i="54" s="1"/>
  <c r="AF57" i="54" s="1"/>
  <c r="AG35" i="54"/>
  <c r="AG54" i="54" s="1"/>
  <c r="AG57" i="54" s="1"/>
  <c r="AA35" i="54"/>
  <c r="AA54" i="54" s="1"/>
  <c r="AA57" i="54" s="1"/>
  <c r="Y35" i="54"/>
  <c r="AB35" i="54"/>
  <c r="AB54" i="54" s="1"/>
  <c r="AB57" i="54" s="1"/>
  <c r="Z35" i="54"/>
  <c r="Z54" i="54" s="1"/>
  <c r="Z57" i="54" s="1"/>
  <c r="F40" i="43" s="1"/>
  <c r="AC35" i="54"/>
  <c r="AC54" i="54" s="1"/>
  <c r="AC57" i="54" s="1"/>
  <c r="P35" i="54"/>
  <c r="BD35" i="54" s="1"/>
  <c r="BD54" i="54" s="1"/>
  <c r="BD58" i="54" s="1"/>
  <c r="AH35" i="54"/>
  <c r="AH54" i="54" s="1"/>
  <c r="AH57" i="54" s="1"/>
  <c r="F389" i="43" l="1"/>
  <c r="F53" i="43"/>
  <c r="F69" i="43"/>
  <c r="F51" i="43"/>
  <c r="F49" i="43"/>
  <c r="A35" i="54"/>
  <c r="Y54" i="54"/>
  <c r="Y57" i="54" s="1"/>
  <c r="Y58" i="54" s="1"/>
  <c r="T37" i="54"/>
  <c r="V37" i="54" s="1"/>
  <c r="X36" i="54"/>
  <c r="AW36" i="54" s="1"/>
  <c r="F61" i="43" l="1"/>
  <c r="U37" i="54"/>
  <c r="W37" i="54" s="1"/>
  <c r="X37" i="54" s="1"/>
  <c r="AZ36" i="54"/>
  <c r="BB36" i="54"/>
  <c r="AV36" i="54"/>
  <c r="AX36" i="54"/>
  <c r="AU36" i="54"/>
  <c r="AT36" i="54"/>
  <c r="AS36" i="54"/>
  <c r="AY36" i="54"/>
  <c r="BA36" i="54"/>
  <c r="T38" i="54" l="1"/>
  <c r="V38" i="54" s="1"/>
  <c r="A36" i="54"/>
  <c r="AX37" i="54"/>
  <c r="AZ37" i="54"/>
  <c r="AU37" i="54"/>
  <c r="AW37" i="54"/>
  <c r="AS37" i="54"/>
  <c r="BA37" i="54"/>
  <c r="AT37" i="54"/>
  <c r="AV37" i="54"/>
  <c r="BB37" i="54"/>
  <c r="AY37" i="54"/>
  <c r="A37" i="54" l="1"/>
  <c r="X38" i="54"/>
  <c r="T39" i="54"/>
  <c r="V39" i="54" s="1"/>
  <c r="AY38" i="54" l="1"/>
  <c r="AZ38" i="54"/>
  <c r="AV38" i="54"/>
  <c r="BA38" i="54"/>
  <c r="BB38" i="54"/>
  <c r="AW38" i="54"/>
  <c r="AU38" i="54"/>
  <c r="AS38" i="54"/>
  <c r="AT38" i="54"/>
  <c r="AX38" i="54"/>
  <c r="U39" i="54"/>
  <c r="W39" i="54" s="1"/>
  <c r="A38" i="54" l="1"/>
  <c r="T40" i="54"/>
  <c r="V40" i="54" s="1"/>
  <c r="X39" i="54"/>
  <c r="AU39" i="54" l="1"/>
  <c r="AS39" i="54"/>
  <c r="AY39" i="54"/>
  <c r="AX39" i="54"/>
  <c r="BB39" i="54"/>
  <c r="AW39" i="54"/>
  <c r="AZ39" i="54"/>
  <c r="AT39" i="54"/>
  <c r="BA39" i="54"/>
  <c r="AV39" i="54"/>
  <c r="U40" i="54"/>
  <c r="W40" i="54" s="1"/>
  <c r="A39" i="54" l="1"/>
  <c r="X40" i="54"/>
  <c r="T41" i="54"/>
  <c r="V41" i="54" s="1"/>
  <c r="AW40" i="54" l="1"/>
  <c r="AU40" i="54"/>
  <c r="AS40" i="54"/>
  <c r="AV40" i="54"/>
  <c r="AZ40" i="54"/>
  <c r="AT40" i="54"/>
  <c r="AX40" i="54"/>
  <c r="BA40" i="54"/>
  <c r="AY40" i="54"/>
  <c r="BB40" i="54"/>
  <c r="U41" i="54"/>
  <c r="W41" i="54" s="1"/>
  <c r="A40" i="54" l="1"/>
  <c r="T42" i="54"/>
  <c r="V42" i="54" s="1"/>
  <c r="X41" i="54"/>
  <c r="AX41" i="54" l="1"/>
  <c r="AZ41" i="54"/>
  <c r="AV41" i="54"/>
  <c r="AW41" i="54"/>
  <c r="AS41" i="54"/>
  <c r="BB41" i="54"/>
  <c r="AU41" i="54"/>
  <c r="AY41" i="54"/>
  <c r="BA41" i="54"/>
  <c r="AT41" i="54"/>
  <c r="U42" i="54"/>
  <c r="W42" i="54" s="1"/>
  <c r="A41" i="54" l="1"/>
  <c r="X42" i="54"/>
  <c r="T43" i="54"/>
  <c r="V43" i="54" s="1"/>
  <c r="AX42" i="54" l="1"/>
  <c r="BA42" i="54"/>
  <c r="AZ42" i="54"/>
  <c r="BB42" i="54"/>
  <c r="AV42" i="54"/>
  <c r="AW42" i="54"/>
  <c r="AS42" i="54"/>
  <c r="AU42" i="54"/>
  <c r="AT42" i="54"/>
  <c r="AY42" i="54"/>
  <c r="U43" i="54"/>
  <c r="W43" i="54" s="1"/>
  <c r="A42" i="54" l="1"/>
  <c r="T44" i="54"/>
  <c r="V44" i="54" s="1"/>
  <c r="X43" i="54"/>
  <c r="AT43" i="54" l="1"/>
  <c r="AU43" i="54"/>
  <c r="BB43" i="54"/>
  <c r="AS43" i="54"/>
  <c r="AX43" i="54"/>
  <c r="AV43" i="54"/>
  <c r="AZ43" i="54"/>
  <c r="AW43" i="54"/>
  <c r="AY43" i="54"/>
  <c r="BA43" i="54"/>
  <c r="U44" i="54"/>
  <c r="W44" i="54" s="1"/>
  <c r="A43" i="54" l="1"/>
  <c r="X44" i="54"/>
  <c r="T45" i="54"/>
  <c r="V45" i="54" s="1"/>
  <c r="BB44" i="54" l="1"/>
  <c r="AX44" i="54"/>
  <c r="AY44" i="54"/>
  <c r="AT44" i="54"/>
  <c r="AU44" i="54"/>
  <c r="AS44" i="54"/>
  <c r="AW44" i="54"/>
  <c r="AV44" i="54"/>
  <c r="AZ44" i="54"/>
  <c r="BA44" i="54"/>
  <c r="U45" i="54"/>
  <c r="W45" i="54" s="1"/>
  <c r="A44" i="54" l="1"/>
  <c r="X45" i="54"/>
  <c r="T46" i="54"/>
  <c r="V46" i="54" s="1"/>
  <c r="AT45" i="54" l="1"/>
  <c r="AV45" i="54"/>
  <c r="BA45" i="54"/>
  <c r="BB45" i="54"/>
  <c r="AU45" i="54"/>
  <c r="AY45" i="54"/>
  <c r="AZ45" i="54"/>
  <c r="AW45" i="54"/>
  <c r="AS45" i="54"/>
  <c r="AX45" i="54"/>
  <c r="U46" i="54"/>
  <c r="W46" i="54" s="1"/>
  <c r="A45" i="54" l="1"/>
  <c r="X46" i="54"/>
  <c r="T47" i="54"/>
  <c r="V47" i="54" s="1"/>
  <c r="AS46" i="54" l="1"/>
  <c r="AY46" i="54"/>
  <c r="AZ46" i="54"/>
  <c r="BA46" i="54"/>
  <c r="AU46" i="54"/>
  <c r="AW46" i="54"/>
  <c r="BB46" i="54"/>
  <c r="AT46" i="54"/>
  <c r="AX46" i="54"/>
  <c r="AV46" i="54"/>
  <c r="U47" i="54"/>
  <c r="W47" i="54" s="1"/>
  <c r="A46" i="54" l="1"/>
  <c r="X47" i="54"/>
  <c r="T48" i="54"/>
  <c r="V48" i="54" s="1"/>
  <c r="AS47" i="54" l="1"/>
  <c r="AW47" i="54"/>
  <c r="AY47" i="54"/>
  <c r="AT47" i="54"/>
  <c r="BB47" i="54"/>
  <c r="BA47" i="54"/>
  <c r="AU47" i="54"/>
  <c r="AV47" i="54"/>
  <c r="AZ47" i="54"/>
  <c r="AX47" i="54"/>
  <c r="U48" i="54"/>
  <c r="W48" i="54" s="1"/>
  <c r="A47" i="54" l="1"/>
  <c r="T49" i="54"/>
  <c r="V49" i="54" s="1"/>
  <c r="X48" i="54"/>
  <c r="AY48" i="54" l="1"/>
  <c r="BB48" i="54"/>
  <c r="AZ48" i="54"/>
  <c r="AW48" i="54"/>
  <c r="AX48" i="54"/>
  <c r="AU48" i="54"/>
  <c r="AS48" i="54"/>
  <c r="AV48" i="54"/>
  <c r="BA48" i="54"/>
  <c r="AT48" i="54"/>
  <c r="U49" i="54"/>
  <c r="W49" i="54" s="1"/>
  <c r="A48" i="54" l="1"/>
  <c r="X49" i="54"/>
  <c r="T50" i="54"/>
  <c r="V50" i="54" s="1"/>
  <c r="AZ49" i="54" l="1"/>
  <c r="AV49" i="54"/>
  <c r="AX49" i="54"/>
  <c r="AU49" i="54"/>
  <c r="AS49" i="54"/>
  <c r="AT49" i="54"/>
  <c r="AW49" i="54"/>
  <c r="BA49" i="54"/>
  <c r="AY49" i="54"/>
  <c r="BB49" i="54"/>
  <c r="U50" i="54"/>
  <c r="W50" i="54" s="1"/>
  <c r="A49" i="54" l="1"/>
  <c r="X50" i="54"/>
  <c r="T51" i="54"/>
  <c r="V51" i="54" s="1"/>
  <c r="AW50" i="54" l="1"/>
  <c r="AX50" i="54"/>
  <c r="AZ50" i="54"/>
  <c r="AV50" i="54"/>
  <c r="BB50" i="54"/>
  <c r="BA50" i="54"/>
  <c r="AT50" i="54"/>
  <c r="AY50" i="54"/>
  <c r="AU50" i="54"/>
  <c r="AS50" i="54"/>
  <c r="U51" i="54"/>
  <c r="W51" i="54" s="1"/>
  <c r="A50" i="54" l="1"/>
  <c r="T52" i="54"/>
  <c r="V52" i="54" s="1"/>
  <c r="X51" i="54"/>
  <c r="AW51" i="54" l="1"/>
  <c r="AU51" i="54"/>
  <c r="AT51" i="54"/>
  <c r="AV51" i="54"/>
  <c r="AX51" i="54"/>
  <c r="BA51" i="54"/>
  <c r="AS51" i="54"/>
  <c r="AZ51" i="54"/>
  <c r="AY51" i="54"/>
  <c r="BB51" i="54"/>
  <c r="U52" i="54"/>
  <c r="W52" i="54" s="1"/>
  <c r="A51" i="54" l="1"/>
  <c r="T53" i="54"/>
  <c r="V53" i="54" s="1"/>
  <c r="X52" i="54"/>
  <c r="AY52" i="54" l="1"/>
  <c r="AX52" i="54"/>
  <c r="AZ52" i="54"/>
  <c r="AS52" i="54"/>
  <c r="BA52" i="54"/>
  <c r="AT52" i="54"/>
  <c r="AV52" i="54"/>
  <c r="BB52" i="54"/>
  <c r="AU52" i="54"/>
  <c r="AW52" i="54"/>
  <c r="U53" i="54"/>
  <c r="W53" i="54" s="1"/>
  <c r="A52" i="54" l="1"/>
  <c r="X53" i="54"/>
  <c r="BB53" i="54" l="1"/>
  <c r="BB54" i="54" s="1"/>
  <c r="BB57" i="54" s="1"/>
  <c r="AY53" i="54"/>
  <c r="AY54" i="54" s="1"/>
  <c r="AY57" i="54" s="1"/>
  <c r="F47" i="43" s="1"/>
  <c r="AW53" i="54"/>
  <c r="AW54" i="54" s="1"/>
  <c r="AW57" i="54" s="1"/>
  <c r="F45" i="43" s="1"/>
  <c r="AU53" i="54"/>
  <c r="AU54" i="54" s="1"/>
  <c r="AU57" i="54" s="1"/>
  <c r="F44" i="43" s="1"/>
  <c r="AV53" i="54"/>
  <c r="AV54" i="54" s="1"/>
  <c r="AV57" i="54" s="1"/>
  <c r="AX53" i="54"/>
  <c r="AX54" i="54" s="1"/>
  <c r="AX57" i="54" s="1"/>
  <c r="F46" i="43" s="1"/>
  <c r="BA53" i="54"/>
  <c r="BA54" i="54" s="1"/>
  <c r="BA57" i="54" s="1"/>
  <c r="F48" i="43" s="1"/>
  <c r="AZ53" i="54"/>
  <c r="AZ54" i="54" s="1"/>
  <c r="AZ57" i="54" s="1"/>
  <c r="AS53" i="54"/>
  <c r="AT53" i="54"/>
  <c r="AT54" i="54" s="1"/>
  <c r="AT57" i="54" s="1"/>
  <c r="F57" i="43" l="1"/>
  <c r="F55" i="43"/>
  <c r="F59" i="43"/>
  <c r="F56" i="43"/>
  <c r="F58" i="43"/>
  <c r="AS54" i="54"/>
  <c r="A53" i="54"/>
  <c r="F63" i="43" l="1"/>
  <c r="F65" i="43"/>
  <c r="F64" i="43"/>
  <c r="F66" i="43"/>
  <c r="F67" i="43"/>
  <c r="AS57" i="54"/>
  <c r="AS58" i="54" l="1"/>
  <c r="F43" i="43"/>
  <c r="F54" i="43" l="1"/>
  <c r="F50" i="43"/>
  <c r="F62" i="43" l="1"/>
  <c r="AC14" i="61"/>
  <c r="AC55" i="61" s="1"/>
  <c r="AC12" i="61" s="1"/>
  <c r="K442" i="63"/>
  <c r="G443" i="63"/>
  <c r="G444" i="63" s="1"/>
  <c r="G436" i="63"/>
  <c r="F848" i="43" l="1"/>
  <c r="K436" i="63"/>
  <c r="F842" i="43" s="1"/>
  <c r="G435" i="63"/>
  <c r="K443" i="63"/>
  <c r="G445" i="63"/>
  <c r="K445" i="63" s="1"/>
  <c r="K444" i="63"/>
  <c r="G437" i="63"/>
  <c r="F849" i="43" l="1"/>
  <c r="G434" i="63"/>
  <c r="G432" i="63"/>
  <c r="K435" i="63"/>
  <c r="F850" i="43"/>
  <c r="G438" i="63"/>
  <c r="K437" i="63"/>
  <c r="F851" i="43"/>
  <c r="G433" i="63" l="1"/>
  <c r="K433" i="63" s="1"/>
  <c r="K434" i="63"/>
  <c r="G431" i="63"/>
  <c r="K431" i="63" s="1"/>
  <c r="K432" i="63"/>
  <c r="F841" i="43"/>
  <c r="F843" i="43"/>
  <c r="G439" i="63"/>
  <c r="K439" i="63" s="1"/>
  <c r="K438" i="63"/>
  <c r="F837" i="43" l="1"/>
  <c r="F840" i="43"/>
  <c r="F838" i="43"/>
  <c r="F839" i="43"/>
  <c r="F844" i="43"/>
  <c r="F845" i="43"/>
</calcChain>
</file>

<file path=xl/sharedStrings.xml><?xml version="1.0" encoding="utf-8"?>
<sst xmlns="http://schemas.openxmlformats.org/spreadsheetml/2006/main" count="6891" uniqueCount="1377">
  <si>
    <t>Item</t>
  </si>
  <si>
    <t>PAVIMENTO</t>
  </si>
  <si>
    <t>H</t>
  </si>
  <si>
    <t>N</t>
  </si>
  <si>
    <t>R</t>
  </si>
  <si>
    <t>05.03</t>
  </si>
  <si>
    <t xml:space="preserve">   CONEXIONES DOMICILIARIAS DE AGUA - PROYECTADAS</t>
  </si>
  <si>
    <t>05.03.01</t>
  </si>
  <si>
    <t xml:space="preserve">      TRABAJOS PRELIMINARES</t>
  </si>
  <si>
    <t>05.03.01.01</t>
  </si>
  <si>
    <t xml:space="preserve">         Trazo y replanteo inicial para conexión  domiciliaria</t>
  </si>
  <si>
    <t>und</t>
  </si>
  <si>
    <t>05.03.01.02</t>
  </si>
  <si>
    <t xml:space="preserve">         Replanteo final de la obra para conexión domiciliaria</t>
  </si>
  <si>
    <t>05.03.01.03</t>
  </si>
  <si>
    <t xml:space="preserve">         Riego de zona de trabajo para mitigar la contaminación -polvo (con autorización de uso de grifo)</t>
  </si>
  <si>
    <t>m</t>
  </si>
  <si>
    <t>05.03.01.04</t>
  </si>
  <si>
    <t xml:space="preserve">         Cerco de malla HDP de 1 m altura para límite de seguridad de obra</t>
  </si>
  <si>
    <t>05.03.01.05</t>
  </si>
  <si>
    <t xml:space="preserve">         Transporte a zona s/acceso:mat.,desmonte p/tub. conexión dom. agua pot. t-normal</t>
  </si>
  <si>
    <t>05.03.01.06</t>
  </si>
  <si>
    <t xml:space="preserve">         Transporte a zona s/acceso de caja, marco+tapa, abrazadera para conexión domiciliaria de agua, t-Normal</t>
  </si>
  <si>
    <t>05.03.02</t>
  </si>
  <si>
    <t xml:space="preserve">      MOVIMIENTO DE TIERRAS</t>
  </si>
  <si>
    <t>05.03.02.01</t>
  </si>
  <si>
    <t xml:space="preserve">         Excav. zanja (pulso) p/tub. terr-normal  DN   15 -   40  de 0,60 m a 1,00 m prof.</t>
  </si>
  <si>
    <t>05.03.02.02</t>
  </si>
  <si>
    <t xml:space="preserve">         Excav. zanja (pulso) p/tub. t-semirocoso DN   15 -   40  de 0,60 m a 1,00 m prof.</t>
  </si>
  <si>
    <t>05.03.02.03</t>
  </si>
  <si>
    <t xml:space="preserve">         Excavación zanja (s/exp) p/tub. t-rocoso DN   15 -   40  de 0,60 m a 1,00 m prof.</t>
  </si>
  <si>
    <t>05.03.02.04</t>
  </si>
  <si>
    <t xml:space="preserve">         Refine y nivel de zanja terr-normal para tub. DN   15 -   40  para toda profund.</t>
  </si>
  <si>
    <t>05.03.02.05</t>
  </si>
  <si>
    <t xml:space="preserve">         Refine y nivel de zanja t-semirocoso  p/ tub. DN   15 -   40  para toda profund.</t>
  </si>
  <si>
    <t>05.03.02.06</t>
  </si>
  <si>
    <t xml:space="preserve">         Refine y nivel de zanja terr-rocoso  p/  tub. DN   15 -   40  para toda profund.</t>
  </si>
  <si>
    <t>05.03.02.07</t>
  </si>
  <si>
    <t xml:space="preserve">         Relleno comp.zanja(pulso) p/tub t-normal DN   15 -   40  de 0,60 m a 1,00 m prof.</t>
  </si>
  <si>
    <t>05.03.02.08</t>
  </si>
  <si>
    <t xml:space="preserve">         Relleno comp.zanja(pul) p/tub t-semiroca DN   15 -   40  de 0,60 m a 1,00 m prof.</t>
  </si>
  <si>
    <t>05.03.02.09</t>
  </si>
  <si>
    <t xml:space="preserve">         Relleno comp.zanja(pulso)p/tub t-rocoso  DN   15 -   40  de 0,60 m a 1,00 m prof.</t>
  </si>
  <si>
    <t>05.03.02.10</t>
  </si>
  <si>
    <t>05.03.02.11</t>
  </si>
  <si>
    <t xml:space="preserve">         Elimin. desmonte(carg+v) t-normal D=20km p/tub. DN   15 -   40  para toda prof.</t>
  </si>
  <si>
    <t>05.03.02.12</t>
  </si>
  <si>
    <t xml:space="preserve">         Elimin. desmonte(p+v) t-semiroca  D=20km p/tub. DN   15 -   40  para toda prof.</t>
  </si>
  <si>
    <t>05.03.02.13</t>
  </si>
  <si>
    <t xml:space="preserve">         Elimin. desmonte(carg+v) t-rocoso D=20km p/tub DN   15 -   40  de 0,60 m a 1,00 m</t>
  </si>
  <si>
    <t>05.03.02.14</t>
  </si>
  <si>
    <t xml:space="preserve">         Prueba de compactacion de suelos (proctor modificado y de control de compactacion - densidad de campo)</t>
  </si>
  <si>
    <t>05.03.03</t>
  </si>
  <si>
    <t xml:space="preserve">      SUMINISTRO E INSTALACION DE TUBERIAS</t>
  </si>
  <si>
    <t>05.03.03.01</t>
  </si>
  <si>
    <t xml:space="preserve">         Tubería de Polietileno PE-100  DN 15 mm + 2% desperdicios</t>
  </si>
  <si>
    <t>05.03.03.02</t>
  </si>
  <si>
    <t xml:space="preserve">         Tubería de PVC-U SP PN 10  DN  15 incl.  elemento unión + 2% desperdicios</t>
  </si>
  <si>
    <t>05.03.03.03</t>
  </si>
  <si>
    <t xml:space="preserve">         Tubería de PVC-U  SAL liviana  DN  100   incl. elemento unión + 2% desperdicios</t>
  </si>
  <si>
    <t>05.03.03.04</t>
  </si>
  <si>
    <t xml:space="preserve">         Instalación de tubería Polietileno PE-100 agua potab. DN 20  incluye prueba hidráulica</t>
  </si>
  <si>
    <t>05.03.03.05</t>
  </si>
  <si>
    <t xml:space="preserve">         Instalación de tubería PVC p/agua potab. DN   15 -  20  incluye prueba hidráulica</t>
  </si>
  <si>
    <t>05.03.03.06</t>
  </si>
  <si>
    <t xml:space="preserve">         Instalacion de tuberia PVC  DN 80-100 para forro de conexión domiciliaria de agua potable</t>
  </si>
  <si>
    <t>05.03.03.07</t>
  </si>
  <si>
    <t xml:space="preserve">         Prueba hidráulica de tubería agua para potable (incl. desinfección) DN   15 -  20</t>
  </si>
  <si>
    <t>05.03.04</t>
  </si>
  <si>
    <t xml:space="preserve">      SUMINISTRO E INSTALACION DE ACCESORIOS</t>
  </si>
  <si>
    <t>05.03.04.01</t>
  </si>
  <si>
    <t xml:space="preserve">         Suministro de elementos de toma para conexión de agua  DN  15</t>
  </si>
  <si>
    <t>05.03.04.02</t>
  </si>
  <si>
    <t xml:space="preserve">         Suministro de elementos de control para  conexión de agua DN  15</t>
  </si>
  <si>
    <t>05.03.04.03</t>
  </si>
  <si>
    <t xml:space="preserve">         Abrazadera de Polipropileno DN 160mm x 15mm c/perforador obturador para conexión domiciliaria</t>
  </si>
  <si>
    <t>05.03.04.04</t>
  </si>
  <si>
    <t xml:space="preserve">         Abrazadera de Polipropileno DN 110mm x 15mm c/perforador obturador para conexión domiciliaria</t>
  </si>
  <si>
    <t>05.03.04.05</t>
  </si>
  <si>
    <t xml:space="preserve">         Abrazadera de Polipropileno DN 90mm x 15mm c/perforador obturador para conexión domiciliaria</t>
  </si>
  <si>
    <t>05.03.04.06</t>
  </si>
  <si>
    <t xml:space="preserve">         Empalme mecanico de PP para unir Tub. HDPE con Valvula de Paso 20mm x 1/2"</t>
  </si>
  <si>
    <t>05.03.04.07</t>
  </si>
  <si>
    <t xml:space="preserve">         Instalación elementos de toma p/conexión agua DN  15  -  25</t>
  </si>
  <si>
    <t>05.03.04.08</t>
  </si>
  <si>
    <t xml:space="preserve">         Instalación elementos de control para    conexión agua DN  15  -  25</t>
  </si>
  <si>
    <t>05.03.04.09</t>
  </si>
  <si>
    <t xml:space="preserve">         Instalación de abrazaderas p/conexión en tubería DN  100  -  150</t>
  </si>
  <si>
    <t>05.03.04.10</t>
  </si>
  <si>
    <t xml:space="preserve">         Instalación de Empalme mecanico PP   DN   15 - 40</t>
  </si>
  <si>
    <t>05.03.04.11</t>
  </si>
  <si>
    <t xml:space="preserve">         Instalación de caja y tapa para medidor  DN  15  a   20  en terreno normal</t>
  </si>
  <si>
    <t>05.03.04.12</t>
  </si>
  <si>
    <t xml:space="preserve">         Instalación de caja y tapa para medidor  DN  15  a   20  en terreno semirocoso</t>
  </si>
  <si>
    <t>05.03.04.13</t>
  </si>
  <si>
    <t xml:space="preserve">         Instalación de caja y tapa para medidor  DN  15  a   20  en terreno rocoso</t>
  </si>
  <si>
    <t>05.03.05</t>
  </si>
  <si>
    <t xml:space="preserve">      CAJAS Y OTROS</t>
  </si>
  <si>
    <t>05.03.05.01</t>
  </si>
  <si>
    <t xml:space="preserve">         Construcción de losa de concreto f'c 175 kg/cm2 de 0.80 x 0.60 x 0,10 m (cemento PV)</t>
  </si>
  <si>
    <t>05.03.05.02</t>
  </si>
  <si>
    <t xml:space="preserve">         Suministro de caja, marco y tapa termoplastica con seguro (CTPS-E-004:2005 ó su actualización), para medidor DN  15 - 20 mm</t>
  </si>
  <si>
    <t>05.03.05.03</t>
  </si>
  <si>
    <t xml:space="preserve">         Conexion domiciliaria con instalacion de caja portamedidor</t>
  </si>
  <si>
    <t xml:space="preserve">   MICROMEDICION</t>
  </si>
  <si>
    <t>05.04.01</t>
  </si>
  <si>
    <t xml:space="preserve">      Suministro e Instalacion de micromedidores de agua potable DN 15</t>
  </si>
  <si>
    <t>05.04.02</t>
  </si>
  <si>
    <t xml:space="preserve">      Pruebas de laboratorio s/especificación p/evaluación-aceptación de medidores  DN 15, 20 y 25 (Por medidor suministrado)</t>
  </si>
  <si>
    <t>05.04.03</t>
  </si>
  <si>
    <t xml:space="preserve">      Pruebas de Verificación a Q1 (48 horas a flujo contínuo) y Desgaste acelerado (100 horas a flujo contínuo); Lote 151 a 10000 Und; costo por muestra de 2 medidores DN 15, 20</t>
  </si>
  <si>
    <t>glb</t>
  </si>
  <si>
    <t>Descripción</t>
  </si>
  <si>
    <t>Und.</t>
  </si>
  <si>
    <t>Metrado</t>
  </si>
  <si>
    <t>CONEXIONES DOMICILIARIAS DE AGUA POTABLE</t>
  </si>
  <si>
    <t xml:space="preserve">     VARIOS: REPOSICION DE PAVIMENTOS</t>
  </si>
  <si>
    <t xml:space="preserve">       Corte+rotura, ED y reposic. de pavimento flexible asfalto caliente de  e= 2" (Incl. afirmado e=20cm)</t>
  </si>
  <si>
    <t>05.03.06</t>
  </si>
  <si>
    <t>05.03.06.01</t>
  </si>
  <si>
    <t>m2</t>
  </si>
  <si>
    <t xml:space="preserve">         Acarreo desmonte (pulso)t. rocoso en zona aledaña tub DN 50 - 80 mm de 0.60 m a 1.00 m de prof.</t>
  </si>
  <si>
    <t>METRADO</t>
  </si>
  <si>
    <t>Obra</t>
  </si>
  <si>
    <t>"INSTALACION DE LOS SISTEMAS DE AGUA POTABLE Y ALCANTARILLADO PARA LOS PUEBLOS DE LA MARGEN DERECHA E IZQUIERDA DEL PRIMER SECTOR DE CIENEGUILLA-DISTRITO CIENEGUILLA"</t>
  </si>
  <si>
    <t>Cliente</t>
  </si>
  <si>
    <t>SEDAPAL</t>
  </si>
  <si>
    <t>Lugar</t>
  </si>
  <si>
    <t>CIENEGUILLA - CIENEGUILLA - LIMA</t>
  </si>
  <si>
    <t>Plano</t>
  </si>
  <si>
    <t>Del CA-01 al CA-36</t>
  </si>
  <si>
    <t>Fórmula</t>
  </si>
  <si>
    <t>DN</t>
  </si>
  <si>
    <t>M2</t>
  </si>
  <si>
    <t>TIPO</t>
  </si>
  <si>
    <t>PROGRESIVA</t>
  </si>
  <si>
    <t>PAVIMENTO FLEXIBLE</t>
  </si>
  <si>
    <t>ANCHO DE PAVIMENTO</t>
  </si>
  <si>
    <t>MOVIMIENTO TERRENO NORMAL  : LONGITUD EN METROS (m)</t>
  </si>
  <si>
    <t>BUZÓN</t>
  </si>
  <si>
    <t>LONG. (M)</t>
  </si>
  <si>
    <t>PENDIENTE</t>
  </si>
  <si>
    <t>PROF. (M)</t>
  </si>
  <si>
    <t>CÓDIGO</t>
  </si>
  <si>
    <t>CARACT. DE LA TUBERÍA</t>
  </si>
  <si>
    <t>TUBERÍA DE COLECTOR PRINCIPAL</t>
  </si>
  <si>
    <t>Horiz.</t>
  </si>
  <si>
    <t>Incl.</t>
  </si>
  <si>
    <t>Del</t>
  </si>
  <si>
    <t>Al</t>
  </si>
  <si>
    <t>Material</t>
  </si>
  <si>
    <t>Clase</t>
  </si>
  <si>
    <t>Terr.</t>
  </si>
  <si>
    <t>Inicial</t>
  </si>
  <si>
    <t>Final</t>
  </si>
  <si>
    <t>Prom.</t>
  </si>
  <si>
    <t/>
  </si>
  <si>
    <t>TRAZO Y REPLANTEO INICIAL DEL PROYECTO, PARA LÍNEAS-REDES CON ESTACIÓN TOTAL</t>
  </si>
  <si>
    <t>KM</t>
  </si>
  <si>
    <t>REPLANTEO FINAL DE LA OBRA, PARA LÍNEAS REDES CON ESTACIÓN TOTAL</t>
  </si>
  <si>
    <t>RIEGO DE ZONA DE TRABAJO PARA MITIGAR LA CONTAMINACIÓN - POLVO (INCL. COSTO DE AGUA Y TRANSPORTE SURTIDOR A OBRA )</t>
  </si>
  <si>
    <t>M</t>
  </si>
  <si>
    <t>CERCO DE MALLA HDP DE 1 M ALTURA PARA LÍMITE DE SEGURIDAD DE OBRA</t>
  </si>
  <si>
    <t>UND</t>
  </si>
  <si>
    <t>MOVIMIENTO DE TIERRAS</t>
  </si>
  <si>
    <t>EXCAVAC. ZANJA (MÁQ.) P/TUB. TERR-NORMAL DN 200 - 250 DE 1,26 M A 1,50 M PROF.</t>
  </si>
  <si>
    <t>EXCAVAC. ZANJA (MÁQ.) P/TUB. TERR-NORMAL DN 200 - 250 DE 1,76 M A 2,00 M PROF.</t>
  </si>
  <si>
    <t>REFINE Y NIVEL DE ZANJA TERR-NORMAL PARA TUB. DN 200 - 250 PARA TODA PROFUND.</t>
  </si>
  <si>
    <t>ELIMIN. DESMONTE(CARG+V) T-NORMAL D=20KM P/TUB. DN 200 - 250 PARA TODA PROF.</t>
  </si>
  <si>
    <t>PRUEBAS</t>
  </si>
  <si>
    <t>CARTEL DE IDENTIFICACIÓN DE LA OBRA DE 7,20 M X 3,60 M</t>
  </si>
  <si>
    <t>Descuento de Buzón</t>
  </si>
  <si>
    <t>VARIOS</t>
  </si>
  <si>
    <t>TRABAJOS PRELIMINARES</t>
  </si>
  <si>
    <t>TUBERÍA PVC-U UF NTP ISO 4435 SN 2 DN 250 INCL. ANILLO + 2% DESPERDICIOS</t>
  </si>
  <si>
    <t>INSTALACIÓN DE TUBERÍA DE PVC P/DESAGÜE DN 250 INCLUYE PRUEBA HIDRÁULICA</t>
  </si>
  <si>
    <t>PRUEBA HIDRÁULICA DE TUBERÍA P/DESAGUE DN 250</t>
  </si>
  <si>
    <t>CORTE+ROTURA, ED Y REPOSIC. DE PAVIMENTO FLEXIBLE ASFALTO CALIENTE DE E= 4"</t>
  </si>
  <si>
    <t>COTA TERRENO</t>
  </si>
  <si>
    <t>COTA CLAVE DE TUB.</t>
  </si>
  <si>
    <t>MOVIMIENTO TERRENO SEMIROCOSO  : LONGITUD EN METROS (m)</t>
  </si>
  <si>
    <t>MOVIMIENTO TERRENO ROCOSO  : LONGITUD EN METROS (m)</t>
  </si>
  <si>
    <t>TUBERÍA</t>
  </si>
  <si>
    <t>Long. Incl.</t>
  </si>
  <si>
    <t>Entre Buz.</t>
  </si>
  <si>
    <t>EXCAVAC. ZANJA (MÁQ.) P/TUB. TERR-NORMAL DN 200 - 250 DE 2,01 M A 2,50 M PROF.</t>
  </si>
  <si>
    <t>EXCAVACIÓN ZANJA (S/EXP) P/TUB. T-ROCOSO DN 200 - 250 DE 1,26 M A 1,50 M PROF.</t>
  </si>
  <si>
    <t>REFINE Y NIVEL DE ZANJA TERR-ROCOSO P/ TUB. DN 200 - 250 PARA TODA PROFUND.</t>
  </si>
  <si>
    <t>RELLENO COMP.ZANJA(PULSO)P/TUB T-ROCOSO DN 200 - 250 DE 1,26 M A 1,50 M PROF.</t>
  </si>
  <si>
    <t>ELIMIN. DESMONTE(CARG+V) T-ROCOSO D=20KM P/TUB DN 200 - 250 DE 1,26 M A 1,50 M</t>
  </si>
  <si>
    <t>EXCAVACIÓN ZANJA (S/EXP) P/TUB. T-ROCOSO DN 200 - 250 DE 0,60 M A 1,00 M PROF.</t>
  </si>
  <si>
    <t>EXCAVACIÓN ZANJA (S/EXP) P/TUB. T-ROCOSO DN 200 - 250 DE 1,01 M A 1,25 M PROF.</t>
  </si>
  <si>
    <t>RELLENO COMP.ZANJA(PULSO)P/TUB T-ROCOSO DN 200 - 250 DE 0,60 M A 1,00 M PROF.</t>
  </si>
  <si>
    <t>RELLENO COMP.ZANJA(PULSO)P/TUB T-ROCOSO DN 200 - 250 DE 1,01 M A 1,25 M PROF.</t>
  </si>
  <si>
    <t>ELIMIN. DESMONTE(CARG+V) T-ROCOSO D=20KM P/TUB DN 200 - 250 DE 1,01 M A 1,25 M</t>
  </si>
  <si>
    <t>ELIMIN. DESMONTE(CARG+V) T-ROCOSO D=20KM P/TUB DN 200 - 250 DE 0,60 M A 1,00 M</t>
  </si>
  <si>
    <t>HD</t>
  </si>
  <si>
    <t>K-9</t>
  </si>
  <si>
    <t>CP-02</t>
  </si>
  <si>
    <t>ENTIBADO</t>
  </si>
  <si>
    <t>Zanjas</t>
  </si>
  <si>
    <t>h &gt; 1.75</t>
  </si>
  <si>
    <t>ACARREO</t>
  </si>
  <si>
    <t>Zona</t>
  </si>
  <si>
    <t>Aledaña</t>
  </si>
  <si>
    <t>A</t>
  </si>
  <si>
    <t>Entibado</t>
  </si>
  <si>
    <t>Acarreo</t>
  </si>
  <si>
    <t>DN + 0.40</t>
  </si>
  <si>
    <t>DN + 0.60</t>
  </si>
  <si>
    <t>CÁMARA DE PURGA</t>
  </si>
  <si>
    <t>CÁMARA DE CIERRE</t>
  </si>
  <si>
    <t>CÁMARA DE AIRE</t>
  </si>
  <si>
    <t>"E"</t>
  </si>
  <si>
    <t>"A"</t>
  </si>
  <si>
    <t>%</t>
  </si>
  <si>
    <t>SP</t>
  </si>
  <si>
    <t>SP/AF/G</t>
  </si>
  <si>
    <t>AF</t>
  </si>
  <si>
    <t>G</t>
  </si>
  <si>
    <t>DEL CR-155 al  CR-156</t>
  </si>
  <si>
    <t>SP/AF/G/PR</t>
  </si>
  <si>
    <t>PR</t>
  </si>
  <si>
    <t>SP/AF/G/PR/AD</t>
  </si>
  <si>
    <t>AD</t>
  </si>
  <si>
    <t>DESCRIPCIÓN</t>
  </si>
  <si>
    <t>B</t>
  </si>
  <si>
    <t>#</t>
  </si>
  <si>
    <t>PARCIAL</t>
  </si>
  <si>
    <t>S/A</t>
  </si>
  <si>
    <t>JR. PARAISO</t>
  </si>
  <si>
    <t>JR. ACAPULLCO</t>
  </si>
  <si>
    <t>CORTE+ROTURA, ED Y REP. DE PAVIMENTO FLEXIBLE</t>
  </si>
  <si>
    <t>CORTE+ROTURA, ED Y REP. DE ROMPE MUELLE</t>
  </si>
  <si>
    <t>CORTE+ROTURA, ED Y REP. DE ESCALERA</t>
  </si>
  <si>
    <t>DEMOLICIÓN DE GRADAS</t>
  </si>
  <si>
    <t>ROTURA, ED Y REP. DE SARDINEL</t>
  </si>
  <si>
    <t>CERCA AL CR-11</t>
  </si>
  <si>
    <t>CÁMARAS</t>
  </si>
  <si>
    <t>L/R</t>
  </si>
  <si>
    <t>EN DELIM. CORTES DE SERVICIO</t>
  </si>
  <si>
    <t>ÓVALO COND. LADERAS DEL SOL</t>
  </si>
  <si>
    <t>ROTURA, ED Y REP. DE BLOQUES DE CONCRETO C/GRASS</t>
  </si>
  <si>
    <t>CONDIMINIOS LADREAS DEL SOL</t>
  </si>
  <si>
    <t>ROTURA, ED Y REP. DE ESTRUCTURA "GRUTA"</t>
  </si>
  <si>
    <t>M3</t>
  </si>
  <si>
    <t>ROTURA</t>
  </si>
  <si>
    <t>MURO DE PIEDRA ASENT. C/ MORTERO</t>
  </si>
  <si>
    <t>ELIMINACIÓN DE MAT. PROV. DEMOLICIÓN</t>
  </si>
  <si>
    <t>RETIRO Y REP. DE TACHAS REFLECTIVAS</t>
  </si>
  <si>
    <t>RETIRO Y REP. DE TACHONES REFLECTIVOS</t>
  </si>
  <si>
    <t>TACHAS</t>
  </si>
  <si>
    <t>TACHONES</t>
  </si>
  <si>
    <t>BLOQUES DE CONCRETO</t>
  </si>
  <si>
    <t>DESMONTAJE Y REP. DE ESCALERA</t>
  </si>
  <si>
    <t>ESCALERA METÁLICA TIPO GATO</t>
  </si>
  <si>
    <t>RELLENO DE BLOQUES DE CONCRETO CON MORTERO</t>
  </si>
  <si>
    <t>REPOSICIÓN DE JARDINES</t>
  </si>
  <si>
    <t>EMPALME AL CR-11</t>
  </si>
  <si>
    <t>INCERSIÓN DE BUZÓN</t>
  </si>
  <si>
    <t>INCLUIR EL MURO DE CONTENCIÓN</t>
  </si>
  <si>
    <t>LÍNEAS DE IMPULSIÓN PROY.</t>
  </si>
  <si>
    <t>E</t>
  </si>
  <si>
    <t>"CAMBIO DE LINEAS DE  IMPULSION DE AGUA POTABLE EN EL DISTRITO DE LA MOLINA"</t>
  </si>
  <si>
    <t>LÍNEAS DE IMPULSIÓN</t>
  </si>
  <si>
    <t>LIMA - LIMA - LA MOLINA</t>
  </si>
  <si>
    <t>-</t>
  </si>
  <si>
    <t>METRADO DE LÍNEAS DE IMPULSIÓN: FRENTE 05</t>
  </si>
  <si>
    <t>METRADO DE LÍNEAS DE IMPULSIÓN: FRENTE 04</t>
  </si>
  <si>
    <t>METRADO DE LÍNEAS DE IMPULSIÓN: FRENTE 03</t>
  </si>
  <si>
    <t>METRADO DE LÍNEAS DE IMPULSIÓN: FRENTE 02</t>
  </si>
  <si>
    <t>METRADO DE LÍNEAS DE IMPULSIÓN: FRENTE 01</t>
  </si>
  <si>
    <t>AV. EL PARQUE</t>
  </si>
  <si>
    <t>PASAJE S/N - CALLE FARALLON (PROGRESIVA 00+90.80)</t>
  </si>
  <si>
    <t>LA GRUTA - LA ESCARPADA (PROGESIVA 01+116.36 Y 01+125.17)</t>
  </si>
  <si>
    <t>LA GRUTA - LA ESCARPADA (PROGESIVA 01+120.00)</t>
  </si>
  <si>
    <t>AV. BELLO HORIZONTE</t>
  </si>
  <si>
    <t>AV ELIAS APARICIO (PROG 00+237.81)</t>
  </si>
  <si>
    <t>AV ELIAS APARICIO (PROG 00+243.96)</t>
  </si>
  <si>
    <t>BELLO HORIZONTE ( PROG 00+838.27)</t>
  </si>
  <si>
    <t>JR MONTE BELLO (PROG 00+895.93)</t>
  </si>
  <si>
    <t>JR MONTE BELLO (PROG 00+901.93)</t>
  </si>
  <si>
    <t>JR MONTE VERDE (PROG 00+946.45)</t>
  </si>
  <si>
    <t>JR MONTE VERDE (PROG 00+953.32)</t>
  </si>
  <si>
    <t>ROTURA, ED Y REP. DE VEREDAS</t>
  </si>
  <si>
    <t>JR MONTE BELLO</t>
  </si>
  <si>
    <t>JR MONTE VERDE (RESERVORIO)</t>
  </si>
  <si>
    <t>AV ELIAS APARICIO CON CAÑADA  (NEWTON)</t>
  </si>
  <si>
    <t>ZONA RESERVORIO</t>
  </si>
  <si>
    <t>PJE MONTE UMBROSO</t>
  </si>
  <si>
    <t>EMPALME 2</t>
  </si>
  <si>
    <t>PROGRESIVA 00+104.62</t>
  </si>
  <si>
    <t>PROGRESIVA 00+893.24</t>
  </si>
  <si>
    <t>CAMARA DE AIRE 0+325</t>
  </si>
  <si>
    <t>CAMARA DE AIRE 0+520</t>
  </si>
  <si>
    <t>CAMARA DE AIRE 0+720</t>
  </si>
  <si>
    <t>PROG  0+900</t>
  </si>
  <si>
    <t>CALLE EL RINCÓN</t>
  </si>
  <si>
    <t>CORTE+ROTURA, ED Y REP. DE ROMPE MUELLE DE CONCRETO</t>
  </si>
  <si>
    <t>CORTE+ROTURA, ED Y REP. DE PAVIMENTO FLEXIBLE 2"</t>
  </si>
  <si>
    <t>CORTE+ROTURA, ED Y REP. DE PAVIMENTO FLEXIBLE 4"</t>
  </si>
  <si>
    <t>CORTE+ROTURA, ED Y REP. DE VEREDA</t>
  </si>
  <si>
    <t>ROTURA, ED Y REP. DE ADOQUINADO</t>
  </si>
  <si>
    <t>CÁMARA DE ALIVIO</t>
  </si>
  <si>
    <t>EMPALME 3</t>
  </si>
  <si>
    <t>GRUTA</t>
  </si>
  <si>
    <t>TRAMOS PARA COMPLETAR EL CARRIL:</t>
  </si>
  <si>
    <t>PROG 0+251.42 - 0+560 (CORTE 1-1 Y 2-2)</t>
  </si>
  <si>
    <t>PROG 0+560 - 0+830 (CORTE 3-3)</t>
  </si>
  <si>
    <t>TRANQUERA</t>
  </si>
  <si>
    <t>AV ELIAS APARICIO (PROGRESIVA 00+251.14)</t>
  </si>
  <si>
    <t>ELIAS APARICIO - BARANDIARAN (PROG 01+680)</t>
  </si>
  <si>
    <t>ELIAS APARICIO - BARANDIARAN (PROG 01+693.46)</t>
  </si>
  <si>
    <t>PROXIMO A R -183  (PROG 02+604.54)</t>
  </si>
  <si>
    <t>VALVULA DE ALIVIO</t>
  </si>
  <si>
    <t>CALLE ELIAS APARICIO</t>
  </si>
  <si>
    <t>BARANDIARAN</t>
  </si>
  <si>
    <t>PROGRESIVA 00+231.46 - 00+251.15</t>
  </si>
  <si>
    <t>CAMARA DE VALV. DE ALIVIO</t>
  </si>
  <si>
    <t>PROG.  1+680</t>
  </si>
  <si>
    <t>CORTE+ROTURA, ED Y REP. DE CANAL</t>
  </si>
  <si>
    <t>BELL AIR  - ELIAS APARICIO (LONG AFECTADA = 7.30M)</t>
  </si>
  <si>
    <t>"CAMBIO DE LINEAS DE  IMPULSION DE AGUA DESDE LA CR-11 AL CR-12 Y DERIVACIÓN AL R-190 (GRAÑA MONTERO)"</t>
  </si>
  <si>
    <t>"CAMBIO DE LINEAS DE  IMPULSION DE AGUA POTABLE DEL CR-155 AL CR-156"</t>
  </si>
  <si>
    <t>"CAMBIO DE LINEAS DE  IMPULSION DE AGUA POTABLE DEL CR-138 (NEWTON) AL CR-24"</t>
  </si>
  <si>
    <t>"CAMBIO DE LINEAS DE  IMPULSION DE AGUA POTABLE DEL CR-156 AL R-209"</t>
  </si>
  <si>
    <t>"CAMBIO DE LINEAS DE  IMPULSION DE AGUA POTABLE DEL CR-138 (CÁMARA DE REBOMBEO NEWTON) AL R-183 (RESERVORIO SAUSALITO)"</t>
  </si>
  <si>
    <t>CORTE+ROTURA, ED Y REP. DE PAVIMENTO RIGIDO 4"</t>
  </si>
  <si>
    <t>C. VALV. CIERRE (T-1)</t>
  </si>
  <si>
    <t>L=</t>
  </si>
  <si>
    <t>e fondo=</t>
  </si>
  <si>
    <t>B=</t>
  </si>
  <si>
    <t>e muro=</t>
  </si>
  <si>
    <t>H=</t>
  </si>
  <si>
    <t>e losa=</t>
  </si>
  <si>
    <t>h muro=</t>
  </si>
  <si>
    <t>L</t>
  </si>
  <si>
    <t>TRAZO</t>
  </si>
  <si>
    <t>REPLANTEO</t>
  </si>
  <si>
    <t>EXCAV.</t>
  </si>
  <si>
    <t>S/EXC.</t>
  </si>
  <si>
    <t>REFINE</t>
  </si>
  <si>
    <t>RELLENO</t>
  </si>
  <si>
    <t>ELIM.</t>
  </si>
  <si>
    <t>Relleno Grava</t>
  </si>
  <si>
    <t>Solados</t>
  </si>
  <si>
    <t>DADOS</t>
  </si>
  <si>
    <t>N° Capas</t>
  </si>
  <si>
    <t>Diam.</t>
  </si>
  <si>
    <t>Densidad</t>
  </si>
  <si>
    <t>Peso</t>
  </si>
  <si>
    <t>Dados</t>
  </si>
  <si>
    <t>N°1</t>
  </si>
  <si>
    <t>Encofrado</t>
  </si>
  <si>
    <t>Acero</t>
  </si>
  <si>
    <t>FONDO</t>
  </si>
  <si>
    <t>Losa de Fondo</t>
  </si>
  <si>
    <t>N°2</t>
  </si>
  <si>
    <t>Muro Ref.</t>
  </si>
  <si>
    <t>MURO 1</t>
  </si>
  <si>
    <t>Capas+Veces</t>
  </si>
  <si>
    <t>MURO 2</t>
  </si>
  <si>
    <t>Hz.</t>
  </si>
  <si>
    <t>Vc.</t>
  </si>
  <si>
    <t>Losa Maciza</t>
  </si>
  <si>
    <t>LOSA</t>
  </si>
  <si>
    <t>Tarrajeo</t>
  </si>
  <si>
    <t>Acabado Piso</t>
  </si>
  <si>
    <t>Escalera</t>
  </si>
  <si>
    <t>Marco y Tapa</t>
  </si>
  <si>
    <t>Ventilación</t>
  </si>
  <si>
    <t>C. VALV. CIERRE (T-2)</t>
  </si>
  <si>
    <t>C. VALV. AIRE</t>
  </si>
  <si>
    <t>C. VALV. ALTITUD</t>
  </si>
  <si>
    <t>C. VALV. PURGA</t>
  </si>
  <si>
    <t>R=</t>
  </si>
  <si>
    <t>Long. =</t>
  </si>
  <si>
    <t>L prom.</t>
  </si>
  <si>
    <t>C. VALV. AIRE  0+438.11</t>
  </si>
  <si>
    <t>C. VALV. AIRE  0+300.00</t>
  </si>
  <si>
    <t>C. VALV. AIRE  1+014.39</t>
  </si>
  <si>
    <t>C. VALV. ALIVIO  0+966.174</t>
  </si>
  <si>
    <t>C. VALV. PURGA  0+083.572</t>
  </si>
  <si>
    <t>C. VALV. AIRE  0+740.00</t>
  </si>
  <si>
    <t>C. VALV. AIRE  0+325.00, 0+520 y 0+720</t>
  </si>
  <si>
    <t>C. VALV. PURGA  0+595.00</t>
  </si>
  <si>
    <t>C. VALV. AIRE  0+003.13</t>
  </si>
  <si>
    <t>C. VALV. AIRE  0+325.00</t>
  </si>
  <si>
    <t>C. VALV. AIRE 0+520</t>
  </si>
  <si>
    <t>C. VALV. AIRE 0+720</t>
  </si>
  <si>
    <t>C. VALV. AIRE  0+266.21   y   1+721.69</t>
  </si>
  <si>
    <t>01</t>
  </si>
  <si>
    <t>FRENTE 01 "CAMBIO DE LINEA DE IMPULSION DE LA CR-11 AL CR-12 Y DERRIVACION R-190"</t>
  </si>
  <si>
    <t>01.01</t>
  </si>
  <si>
    <t>01.01.01</t>
  </si>
  <si>
    <t>CAMPAMENTO PROVISIONAL PARA LA OBRA</t>
  </si>
  <si>
    <t>01.01.02</t>
  </si>
  <si>
    <t>MOVILIZACIÓN Y DESMOVILIZACIÓN DE MAQUINARIA Y HERRAMIENTAS PARA LA OBRA</t>
  </si>
  <si>
    <t>01.01.03</t>
  </si>
  <si>
    <t>01.01.04</t>
  </si>
  <si>
    <t>LIMPIEZA PERMANENTE DE LA OBRA</t>
  </si>
  <si>
    <t>01.01.05</t>
  </si>
  <si>
    <t>GLB</t>
  </si>
  <si>
    <t>01.01.06</t>
  </si>
  <si>
    <t>01.02</t>
  </si>
  <si>
    <t>01.02.01</t>
  </si>
  <si>
    <t>01.02.01.01</t>
  </si>
  <si>
    <t>01.02.01.02</t>
  </si>
  <si>
    <t>01.02.01.03</t>
  </si>
  <si>
    <t>CINTA PLÁSTICA SEÑALIZADORA PARA LÍMITE DE SEGURIDAD DE OBRA</t>
  </si>
  <si>
    <t>01.02.01.04</t>
  </si>
  <si>
    <t>01.02.01.05</t>
  </si>
  <si>
    <t>01.02.01.06</t>
  </si>
  <si>
    <t>01.02.01.07</t>
  </si>
  <si>
    <t>PROTECCION DE REDES EXISTENTES DE DN 100 A 150</t>
  </si>
  <si>
    <t>01.02.01.08</t>
  </si>
  <si>
    <t>PROTECCION DE REDES EXISTENTES DE DN 200 A 250</t>
  </si>
  <si>
    <t>01.02.01.09</t>
  </si>
  <si>
    <t>PROTECCION DE REDES EXISTENTES DE DN 300 A 350</t>
  </si>
  <si>
    <t>01.02.01.10</t>
  </si>
  <si>
    <t>PROTECCION DE CONEXIONES DOMICILIARIAS DE AGUA POTABLE</t>
  </si>
  <si>
    <t>01.02.01.11</t>
  </si>
  <si>
    <t>PROTECCION DE CONEXIONES DOMICILIARIAS DE DESAGÜE</t>
  </si>
  <si>
    <t>01.02.01.12</t>
  </si>
  <si>
    <t>PROTECCION DE CABLE ELÉCTRICO DE BAJA TENSIÓN</t>
  </si>
  <si>
    <t>01.02.01.13</t>
  </si>
  <si>
    <t>PROTECCION DE CABLES TELEFÓNICOS</t>
  </si>
  <si>
    <t>01.02.01.14</t>
  </si>
  <si>
    <t>PROTECCION DE POSTES PARA ALUMBRADO - TELEFONO</t>
  </si>
  <si>
    <t>01.02.02</t>
  </si>
  <si>
    <t>01.02.02.01</t>
  </si>
  <si>
    <t>EXCAV. ZANJA (PULSO) P/TUB. TERR-NORMAL DN 300 - 350 DE 1,01 M A 1,25 M PROF.</t>
  </si>
  <si>
    <t>01.02.02.02</t>
  </si>
  <si>
    <t>01.02.02.03</t>
  </si>
  <si>
    <t>01.02.02.04</t>
  </si>
  <si>
    <t>EXCAVACION ZANJA (S/EXP) P/TUB. T.ROCOSO DN 300 - 350 HASTA 1.25M PROF.</t>
  </si>
  <si>
    <t>01.02.02.05</t>
  </si>
  <si>
    <t>EXCAVACIÓN ZANJA (S/EXP) P/TUB. T-ROCOSO DN 300 - 350 DE 1,26 M A 1,50 M PROF.</t>
  </si>
  <si>
    <t>01.02.02.06</t>
  </si>
  <si>
    <t>EXCAVACIÓN ZANJA (S/EXP) P/TUB. T-ROCOSO DN 300 - 350 DE 1,76 M A 2,00 M PROF.</t>
  </si>
  <si>
    <t>01.02.02.07</t>
  </si>
  <si>
    <t>EXCAVACIÓN ZANJA (S/EXP) P/TUB. T-ROCOSO DN 300 - 350 DE 2,01 M A 2,50 M PROF.</t>
  </si>
  <si>
    <t>01.02.02.08</t>
  </si>
  <si>
    <t>EXCAVACIÓN ZANJA (S/EXP) P/TUB. T-ROCOSO DN 300 - 350 DE 2,51 M A 3,00 M PROF.</t>
  </si>
  <si>
    <t>01.02.02.09</t>
  </si>
  <si>
    <t>EXCAVACIÓN ZANJA (S/EXP) P/TUB. T-ROCOSO DN 300 - 350 DE 3,51 M A 4,00 M PROF.</t>
  </si>
  <si>
    <t>01.02.02.10</t>
  </si>
  <si>
    <t>REFINE Y NIVEL DE ZANJA TERR-NORMAL PARA TUB. DN 300 - 350 PARA TODA PROFUND.</t>
  </si>
  <si>
    <t>01.02.02.11</t>
  </si>
  <si>
    <t>REFINE Y NIVEL DE ZANJA TERR-ROCOSO P/ TUB. DN 300 - 350 PARA TODA PROFUND.</t>
  </si>
  <si>
    <t>01.02.02.12</t>
  </si>
  <si>
    <t>RELLENO COMP.ZANJA(PULSO) P/TUB T-NORMAL DN 300 - 350 DE 1.01 M A 1.25 M PROF.</t>
  </si>
  <si>
    <t>01.02.02.13</t>
  </si>
  <si>
    <t>RELLENO COMP.ZANJA(PULSO) P/TUB T-NORMAL DN 300 - 350 DE 2,01 M A 2,50 M PROF.</t>
  </si>
  <si>
    <t>01.02.02.14</t>
  </si>
  <si>
    <t>RELLENO COMP.ZANJA(PULSO) P/TUB T-NORMAL DN 300 - 350 DE 2,51 M A 3,00 M PROF.</t>
  </si>
  <si>
    <t>01.02.02.15</t>
  </si>
  <si>
    <t>RELLENO COMP.ZANJA(PULSO)P/TUB. T-ROCOSO DN 300-350MM DE 1.01 A 1.25M PROF.</t>
  </si>
  <si>
    <t>01.02.02.16</t>
  </si>
  <si>
    <t>RELLENO COMP.ZANJA(PULSO)P/TUB T-ROCOSO DN 300 - 350 DE 1,26 M A 1,50 M PROF.</t>
  </si>
  <si>
    <t>01.02.02.17</t>
  </si>
  <si>
    <t>RELLENO COMP.ZANJA(PULSO)P/TUB T-ROCOSO DN 300 - 350 DE 1,76 M A 2,00 M PROF.</t>
  </si>
  <si>
    <t>01.02.02.18</t>
  </si>
  <si>
    <t>RELLENO COMP.ZANJA(PULSO)P/TUB T-ROCOSO DN 300 - 350 DE 2,01 M A 2,50 M PROF.</t>
  </si>
  <si>
    <t>01.02.02.19</t>
  </si>
  <si>
    <t>RELLENO COMP.ZANJA(PULSO)P/TUB T-ROCOSO DN 300 - 350 DE 2,51 M A 3,00 M PROF.</t>
  </si>
  <si>
    <t>01.02.02.20</t>
  </si>
  <si>
    <t>RELLENO COMP.ZANJA(PULSO)P/TUB T-ROCOSO DN 300 - 350 DE 3,51 M A 4,00 M PROF.</t>
  </si>
  <si>
    <t>01.02.02.21</t>
  </si>
  <si>
    <t>ACARREO DE DESMONTE (PULSO) P/TUB.DN 300 - 350 MM T. ROCOSO EN ZONA ALEDAÑA</t>
  </si>
  <si>
    <t>01.02.02.22</t>
  </si>
  <si>
    <t>ELIMIN. DESMONTE(CARG+V) T-NORMAL D=20KM P/TUB. DN 300 - 350 PARA TODA PROF.</t>
  </si>
  <si>
    <t>01.02.02.23</t>
  </si>
  <si>
    <t>ELIMIN. DESMONTE(CARG+V)T.ROCOSO D=20KM P/TUBO DN 300-350 DE 1.01 A 1.25M</t>
  </si>
  <si>
    <t>01.02.02.24</t>
  </si>
  <si>
    <t>ELIMIN. DESMONTE(CARG+V) T-ROCOSO D=20KM P/TUB DN 300 - 350 DE 1,26 M A 1,50 M</t>
  </si>
  <si>
    <t>01.02.02.25</t>
  </si>
  <si>
    <t>ELIMIN. DESMONTE(CARG+V) T-ROCOSO D=20KM P/TUB DN 300 - 350 DE 1,76 M A 2,00 M</t>
  </si>
  <si>
    <t>01.02.02.26</t>
  </si>
  <si>
    <t>ELIMIN. DESMONTE(CARG+V) T-ROCOSO D=20KM P/TUB DN 300 - 350 DE 2,01 M A 2,50 M</t>
  </si>
  <si>
    <t>01.02.02.27</t>
  </si>
  <si>
    <t>ELIMIN. DESMONTE(CARG+V) T-ROCOSO D=20KM P/TUB DN 300 - 350 DE 2,51 M A 3,00 M</t>
  </si>
  <si>
    <t>01.02.02.28</t>
  </si>
  <si>
    <t>ELIMIN. DESMONTE(CARG+V) T-ROCOSO D=20KM P/TUB DN 300 - 350 DE 3,51 M A 4,00 M</t>
  </si>
  <si>
    <t>01.02.02.29</t>
  </si>
  <si>
    <t>ENTIBADO METÁLICO TIPO CAJÓN (BOX), DE ZANJAS DE 2.01 A 2.50 M DE PROF. (INCL. INSTALACIÓN, MANTENIMIENTO Y RETIRO)</t>
  </si>
  <si>
    <t>01.02.02.30</t>
  </si>
  <si>
    <t>ENTIBADO METÁLICO TIPO CAJÓN (BOX), DE ZANJAS DE 2.51 A 3.00 M DE PROF. (INCL. INSTALACIÓN, MANTENIMIENTO Y RETIRO)</t>
  </si>
  <si>
    <t>01.02.03</t>
  </si>
  <si>
    <t>SUMINISTRO E INSTALACION DE TUBERIAS</t>
  </si>
  <si>
    <t>01.02.03.01</t>
  </si>
  <si>
    <t>TUBERÍA DE HIERRO DÚCTIL K-9 DN 300 INCLUYE ANILLO + 1% DE DESPERDICIO</t>
  </si>
  <si>
    <t>01.02.03.02</t>
  </si>
  <si>
    <t>TUBERÍA DE HIERRO DÚCTIL K-9 DN 350 INCLUYE ANILLO + 1% DE DESPERDICIO</t>
  </si>
  <si>
    <t>01.02.03.03</t>
  </si>
  <si>
    <t>INSTALACIÓN DE TUBERÍA DE HIERRO DÚCTIL DN 300 INCLUYE PRUEBA HIDRÁULICA</t>
  </si>
  <si>
    <t>01.02.03.04</t>
  </si>
  <si>
    <t>INSTALACIÓN DE TUBERÍA DE HIERRO DÚCTIL DN 350 INCLUYE PRUEBA HIDRÁULICA</t>
  </si>
  <si>
    <t>01.02.03.05</t>
  </si>
  <si>
    <t>SUMINISTRO E INSTALACIÓN DE MANGA HDPE E= 8 MILS (200 MICRONES) PARA PROTECCIÓN DE TUBERÍA HD DN 300</t>
  </si>
  <si>
    <t>01.02.03.06</t>
  </si>
  <si>
    <t>SUMINISTRO E INSTALACIÓN DE MANGA HDPE E= 8 MILS (200 MICRONES) PARA PROTECCIÓN DE TUBERÍA HD DN 350</t>
  </si>
  <si>
    <t>01.02.04</t>
  </si>
  <si>
    <t>SUMINISTRO E INSTALACION DE ACCESORIOS</t>
  </si>
  <si>
    <t>01.02.04.01</t>
  </si>
  <si>
    <t>SUMINISTRO DE ACCESORIOS</t>
  </si>
  <si>
    <t>01.02.04.01.01</t>
  </si>
  <si>
    <t>CODO HIERRO DÚCTIL DE 45° (1/8) 2 ENCHUFES ESTANDAR DN 300</t>
  </si>
  <si>
    <t>01.02.04.01.02</t>
  </si>
  <si>
    <t>CODO HIERRO DÚCTIL DE 22.5° (1/16) 2 ENCHUFES ESTANDAR DN 300</t>
  </si>
  <si>
    <t>01.02.04.01.03</t>
  </si>
  <si>
    <t>CODO HIERRO DÚCTIL DE 11.25° (1/32) 2 ENCHUFES ESTANDAR DN 300</t>
  </si>
  <si>
    <t>01.02.04.01.04</t>
  </si>
  <si>
    <t>CODO HIERRO DÚCTIL DE 45° (1/8) 2 ENCHUFES ESTANDAR DN 350</t>
  </si>
  <si>
    <t>01.02.04.01.05</t>
  </si>
  <si>
    <t>CODO HIERRO DÚCTIL DE 22.5° (1/16) 2 ENCHUFES ESTANDAR DN 350</t>
  </si>
  <si>
    <t>01.02.04.01.06</t>
  </si>
  <si>
    <t>CODO HIERRO DÚCTIL DE 11.25° (1/32) 2 ENCHUFES ESTANDAR DN 350</t>
  </si>
  <si>
    <t>01.02.04.01.07</t>
  </si>
  <si>
    <t>01.02.04.02</t>
  </si>
  <si>
    <t>INSTALACION DE ACCESORIOS</t>
  </si>
  <si>
    <t>01.02.04.02.01</t>
  </si>
  <si>
    <t>INSTALACIÓN DE ACCESORIOS DE HO. DÚCTIL DN 300 - 350</t>
  </si>
  <si>
    <t>01.02.04.02.02</t>
  </si>
  <si>
    <t>CONCRETO F'C 175 KG/CM2 PARA ANCLAJES DE ACCESORIOS DN 300 - 350 (CEMENTO V)</t>
  </si>
  <si>
    <t>01.02.05</t>
  </si>
  <si>
    <t>01.02.05.01</t>
  </si>
  <si>
    <t>PRUEBAS COMPACTACIÓN SUELOS (PROCTOR MODIFICADO Y DE CONTROL DE COMPACTACIÓN)</t>
  </si>
  <si>
    <t>01.02.05.02</t>
  </si>
  <si>
    <t>PRUEBA DE CALIDAD DEL CONCRETO (PRUEBA A LA COMPRESIÓN)</t>
  </si>
  <si>
    <t>01.02.05.03</t>
  </si>
  <si>
    <t>PRUEBA HIDRÁULICA DE TUBERÍA AGUA POTAB. DN 300</t>
  </si>
  <si>
    <t>01.02.05.04</t>
  </si>
  <si>
    <t>PRUEBA HIDRÁULICA DE TUBERÍA AGUA POTAB. DN 350</t>
  </si>
  <si>
    <t>01.02.06</t>
  </si>
  <si>
    <t>MEJORAMIENTO DE INSTALACIONES HIDRÁULICAS EN ESTRUCTURAS EXISTENTES</t>
  </si>
  <si>
    <t>01.02.06.01</t>
  </si>
  <si>
    <t>01.02.06.01.01</t>
  </si>
  <si>
    <t>01.02.06.01.01.01</t>
  </si>
  <si>
    <t>01.02.06.01.02</t>
  </si>
  <si>
    <t>01.02.06.01.02.01</t>
  </si>
  <si>
    <t>BRIDA DE ACERO PARA SOLDAR Y EMPERNAR DN 350</t>
  </si>
  <si>
    <t>01.02.06.01.02.02</t>
  </si>
  <si>
    <t>EMPAQUETADURA DE JEBE ENLONADA DN 350</t>
  </si>
  <si>
    <t>01.02.06.01.02.03</t>
  </si>
  <si>
    <t>PERNO DE ACERO INCLUYE TUERCA PARA UNIR BRIDAS DN 350</t>
  </si>
  <si>
    <t>01.02.06.01.02.04</t>
  </si>
  <si>
    <t>CODO DE HIERRO DÚCTIL DE 45° (1/8) 2 BRIDAS PN 16 DN 350</t>
  </si>
  <si>
    <t>01.02.06.01.02.05</t>
  </si>
  <si>
    <t>TRANSICIÓN BRIDA-CAMPANA DE HO. DÚCTIL PN 16 DN 350 MM</t>
  </si>
  <si>
    <t>01.02.06.01.03</t>
  </si>
  <si>
    <t>01.02.06.01.03.01</t>
  </si>
  <si>
    <t>MONTAJE DE INSTALACIONES HIDRAULICAS DE LA CISTERNA CR-11</t>
  </si>
  <si>
    <t>01.02.06.02</t>
  </si>
  <si>
    <t>01.02.06.02.01</t>
  </si>
  <si>
    <t>01.02.06.02.01.01</t>
  </si>
  <si>
    <t>TUBERÍA DE ACERO SHC-40 DN 350 INCLUYE 1% DE DESPERDICIO</t>
  </si>
  <si>
    <t>01.02.06.02.02</t>
  </si>
  <si>
    <t>01.02.06.02.02.01</t>
  </si>
  <si>
    <t>01.02.06.02.02.02</t>
  </si>
  <si>
    <t>01.02.06.02.02.03</t>
  </si>
  <si>
    <t>01.02.06.02.02.04</t>
  </si>
  <si>
    <t>01.02.06.02.02.05</t>
  </si>
  <si>
    <t>CODO DE HIERRO DÚCTIL DE 22.5° (1/16) 2 BRIDAS PN 16 DN 350</t>
  </si>
  <si>
    <t>01.02.06.02.02.06</t>
  </si>
  <si>
    <t>01.02.06.02.03</t>
  </si>
  <si>
    <t>MONTAJE DE INSTALACIONES HIDRAULICAS DE LA CISTERNA CR-12</t>
  </si>
  <si>
    <t>01.02.06.03</t>
  </si>
  <si>
    <t>01.02.06.03.01</t>
  </si>
  <si>
    <t>01.02.06.03.01.01</t>
  </si>
  <si>
    <t>TUBERÍA DE ACERO SHC-40 DN 300 INCLUYE 1% DE DESPERDICIO</t>
  </si>
  <si>
    <t>01.02.06.03.02</t>
  </si>
  <si>
    <t>01.02.06.03.02.01</t>
  </si>
  <si>
    <t>BRIDA DE ACERO PARA SOLDAR Y EMPERNAR DN 300</t>
  </si>
  <si>
    <t>01.02.06.03.02.02</t>
  </si>
  <si>
    <t>BRIDA DE ACERO PARA SOLDAR ANCLAJE DN 300</t>
  </si>
  <si>
    <t>01.02.06.03.02.03</t>
  </si>
  <si>
    <t>EMPAQUETADURA DE JEBE ENLONADA DN 300</t>
  </si>
  <si>
    <t>01.02.06.03.02.04</t>
  </si>
  <si>
    <t>PERNO DE ACERO INCLUYE TUERCA PARA UNIR BRIDAS DN 300</t>
  </si>
  <si>
    <t>01.02.06.03.02.05</t>
  </si>
  <si>
    <t>TRANSICIÓN BRIDA-CAMPANA DE HO. DÚCTIL PN 16 DN 300 MM</t>
  </si>
  <si>
    <t>01.02.06.03.02.06</t>
  </si>
  <si>
    <t>CODO DE HIERRO DÚCTIL DE 90° (1/4) 2 BRIDAS PN 16 DN 300</t>
  </si>
  <si>
    <t>01.02.06.03.02.07</t>
  </si>
  <si>
    <t>CODO DE HIERRO DÚCTIL DE 45° (1/8) 2 BRIDAS PN 16 DN 300</t>
  </si>
  <si>
    <t>01.02.06.03.02.08</t>
  </si>
  <si>
    <t>CODO DE HIERRO DÚCTIL DE 22.5° (1/16) 2 BRIDAS PN 16 DN 300</t>
  </si>
  <si>
    <t>01.02.06.03.02.09</t>
  </si>
  <si>
    <t>CODO DE HIERRO DÚCTIL DE 11.25° (1/32) 2 BRIDAS PN 16 DN 300</t>
  </si>
  <si>
    <t>01.02.06.03.02.10</t>
  </si>
  <si>
    <t>UNIÓN DE DESMONTAJE AUTOPORTANTE DN 300 MM</t>
  </si>
  <si>
    <t>01.02.06.03.02.11</t>
  </si>
  <si>
    <t>FILTRO EN "Y" DE ACERO INOX. EXTREMOS BB PN 16 DN 300 SEGÚN ESPECIFICACIONES (PROTECCIÓN DE SISTEMA DE AGUA POTABLE)</t>
  </si>
  <si>
    <t>SOPORTE METÁLICO TIPO TRÍPODE P/TUBERÍA DN 300 A 350</t>
  </si>
  <si>
    <t>01.02.06.03.03</t>
  </si>
  <si>
    <t>VÁLVULA MARIPOSA BB DN 300 HO. DÚCTIL EXCÉNT,ASIENTO-EJE ACERO INOXIDABLE</t>
  </si>
  <si>
    <t>VÁLVULA ALTITUD CONTROL PILOTO BRIDADA DN 300</t>
  </si>
  <si>
    <t>01.02.06.03.04</t>
  </si>
  <si>
    <t>MONTAJE DE INSTALACIONES HIDRAULICAS DE LA CISTERNA R-190</t>
  </si>
  <si>
    <t>01.02.07</t>
  </si>
  <si>
    <t>01.02.07.01</t>
  </si>
  <si>
    <t>CÁMARAS DE VÁLVULA DE CIERRE (1 UND - DN 300)</t>
  </si>
  <si>
    <t>01.02.07.01.01</t>
  </si>
  <si>
    <t>CÁMARA PARA VÁLVULA CPTA. T. NORMAL (TIPO 1)</t>
  </si>
  <si>
    <t>01.02.07.01.02</t>
  </si>
  <si>
    <t>VÁLVULA CPTA.BB, HO.DÚCTIL CIERRE ELÁST. VÁSTAGO ACERO INOXIDABLE DN 100</t>
  </si>
  <si>
    <t>01.02.07.01.03</t>
  </si>
  <si>
    <t>MONTAJE DE INSTALACIÓN HIDRÁULICA EN CÁMARA DE CIERRE</t>
  </si>
  <si>
    <t>01.02.07.01.04</t>
  </si>
  <si>
    <t>01.02.07.02</t>
  </si>
  <si>
    <t>CÁMARAS DE VÁLVULA DE CIERRE (1 UND - DN 350)</t>
  </si>
  <si>
    <t>01.02.07.02.01</t>
  </si>
  <si>
    <t>CÁMARA PARA VÁLVULA CPTA. T. NORMAL (TIPO 2)</t>
  </si>
  <si>
    <t>01.02.07.02.02</t>
  </si>
  <si>
    <t>01.02.07.02.03</t>
  </si>
  <si>
    <t>01.02.07.02.04</t>
  </si>
  <si>
    <t>01.02.07.03</t>
  </si>
  <si>
    <t>CAMARA DE VALVULA DE AIRE (1 UND)</t>
  </si>
  <si>
    <t>01.02.07.03.01</t>
  </si>
  <si>
    <t>CÁMARA PARA VÁLVULA DE AIRE T. NORMAL</t>
  </si>
  <si>
    <t>01.02.07.03.02</t>
  </si>
  <si>
    <t>VÁLVULA AIRE AUTOMÁTICA TRIPLE EFECTO BRIDADA PN 16 ESFERA DE ACERO INOXIDABLE DN 100</t>
  </si>
  <si>
    <t>01.02.07.03.03</t>
  </si>
  <si>
    <t>MONTAJE DE VÁLVULA DE AIRE DN 100 E INSTALACIÓN HIDRÁULICA</t>
  </si>
  <si>
    <t>01.02.07.03.04</t>
  </si>
  <si>
    <t>SUMINISTRO INSTALACIÓN HIDRÁULICA PARA VÁLVULA DE AIRE DN 100</t>
  </si>
  <si>
    <t>01.02.07.04</t>
  </si>
  <si>
    <t>CÁMARA PARA VALVULA DE PURGA (1 UND)</t>
  </si>
  <si>
    <t>01.02.07.04.01</t>
  </si>
  <si>
    <t>CÁMARA PARA VÁLVULA DE PURGA T. NORMAL</t>
  </si>
  <si>
    <t>01.02.07.04.02</t>
  </si>
  <si>
    <t>VÁLVULA DE PURGA DN 100 COMPUERTA TIPO BRIDADA DE HIERRO DÚCTIL C/ELASTÓMERO</t>
  </si>
  <si>
    <t>01.02.07.04.03</t>
  </si>
  <si>
    <t>MONTAJE DE VÁLVULA DE PURGA DN 100 E INSTALACIÓN HIDRÁULICA</t>
  </si>
  <si>
    <t>01.02.07.04.04</t>
  </si>
  <si>
    <t>SUMINISTRO INSTALACIÓN HIDRÁULICA PARA VÁLVULA DE PURGA DN 100</t>
  </si>
  <si>
    <t>01.02.07.05</t>
  </si>
  <si>
    <t>CAMARAS DE CONTROL DE ALTITUD (1 UND)</t>
  </si>
  <si>
    <t>01.02.07.05.01</t>
  </si>
  <si>
    <t>CÁMARA PARA VÁLVULA DE ALTITUD T. ROCOSO</t>
  </si>
  <si>
    <t>01.02.07.05.02</t>
  </si>
  <si>
    <t>01.02.07.05.03</t>
  </si>
  <si>
    <t>01.02.07.05.04</t>
  </si>
  <si>
    <t>01.02.08</t>
  </si>
  <si>
    <t>CORTE, ROTURA Y REPOSICION</t>
  </si>
  <si>
    <t>01.02.08.01</t>
  </si>
  <si>
    <t>CORTE+ROTURA, ED Y REPOSIC. DE PAVIMENTO FLEXIBLE ASFALTO CALIENTE DE E= 2"</t>
  </si>
  <si>
    <t>01.02.08.02</t>
  </si>
  <si>
    <t>CORTE+ROTURA, ED Y REPOSICION DE ROMPE MUELLE DE CONCRETO FC=210 KG/CM2</t>
  </si>
  <si>
    <t>01.02.08.03</t>
  </si>
  <si>
    <t>01.02.08.04</t>
  </si>
  <si>
    <t>ROTURA, ED Y REPOSICIÓN DE SARDINEL DE CONCRETO ARMADO F´C 210 KG/CM2, DE 15 X 45 CM (CEMENTO PV)</t>
  </si>
  <si>
    <t>01.02.08.05</t>
  </si>
  <si>
    <t>ROTURA, ED Y REPOSICION DE BLOQUE DE CONCRETO CON GRASS</t>
  </si>
  <si>
    <t>01.02.08.06</t>
  </si>
  <si>
    <t>ROTURA, ED Y REPOSICIÓN DE ESTRUCTURA "GRUTA"</t>
  </si>
  <si>
    <t>01.02.08.07</t>
  </si>
  <si>
    <t>RETIRO Y REPOSICIÓN DE TACHAS REFLECTIVAS</t>
  </si>
  <si>
    <t>01.02.08.08</t>
  </si>
  <si>
    <t>RETIRO Y REPOSICIÓN DE TACHONES REFLECTIVOS</t>
  </si>
  <si>
    <t>01.02.08.09</t>
  </si>
  <si>
    <t>01.02.08.10</t>
  </si>
  <si>
    <t>DESMONTAJE Y REPOSICIÓN DE ESCALERA METÁLICA</t>
  </si>
  <si>
    <t>01.02.08.11</t>
  </si>
  <si>
    <t>RELLENO EN BLOKC DE GRASS CON CEMENTO-ARENA 1:4 A PULSO (CEMENTO PV)</t>
  </si>
  <si>
    <t>01.02.09</t>
  </si>
  <si>
    <t>01.02.09.01</t>
  </si>
  <si>
    <t>CORTE DE TUBERÍA DN 100 - 150 PARA DELIMITAR ZONA DE SERVICIO</t>
  </si>
  <si>
    <t>01.02.09.02</t>
  </si>
  <si>
    <t>CORTE DE TUBERÍA DN 300 - 350 PARA DELIMITAR ZONA DE SERVICIO</t>
  </si>
  <si>
    <t>01.02.09.03</t>
  </si>
  <si>
    <t>INSERCION DE BUZÓN I T. NORMAL A MÁQ. 1,76 A 2,00 M PROFUNDIDAD (ENCOF. EXTER E INTER) C-PV</t>
  </si>
  <si>
    <t>01.02.09.04</t>
  </si>
  <si>
    <t>CALZADURA PARA MURO PERIMÉTRICO</t>
  </si>
  <si>
    <t>01.02.10</t>
  </si>
  <si>
    <t>EMPALMES</t>
  </si>
  <si>
    <t>01.02.10.01</t>
  </si>
  <si>
    <t>EMPALME N° 01 (CR-11)</t>
  </si>
  <si>
    <t>01.02.10.02</t>
  </si>
  <si>
    <t>EMPALME N° 02 (CR-12)</t>
  </si>
  <si>
    <t>01.02.10.03</t>
  </si>
  <si>
    <t>EMPALME N° 03 (R-190)</t>
  </si>
  <si>
    <t>01.02.11</t>
  </si>
  <si>
    <t>01.02.11.01</t>
  </si>
  <si>
    <t>EXTRACCION DE TUBERIA DE PVC DN 250MM EXISTENTE</t>
  </si>
  <si>
    <t>01.02.11.02</t>
  </si>
  <si>
    <t>01.02.11.03</t>
  </si>
  <si>
    <t>01.02.11.04</t>
  </si>
  <si>
    <t>01.02.11.05</t>
  </si>
  <si>
    <t>RETIRO Y ACOMODO DE DESMONTE EN ZONA ALEDAÑA T. ROCOSO</t>
  </si>
  <si>
    <t>01.02.11.06</t>
  </si>
  <si>
    <t>01.02.11.07</t>
  </si>
  <si>
    <t>SUMINISTRO DE TUBERIA HDPE PE 100, PN 10 (145 PSI - SDR 17) DNE 250 MM (INCL. DESPERD. 2%)</t>
  </si>
  <si>
    <t>01.02.11.08</t>
  </si>
  <si>
    <t>INSTALACIÓN TUB. POLIETILENO P/AGUA POT. DN 250 INCLUYE PRUEBA HIDRÁULICA</t>
  </si>
  <si>
    <t>01.02.11.09</t>
  </si>
  <si>
    <t>CODO ELECTROFUSION HDPE DN 250MM X 45 PN10</t>
  </si>
  <si>
    <t>01.02.11.10</t>
  </si>
  <si>
    <t>CODO ELECTROFUSION HDPE DN 250MM X 11.25 PN 10</t>
  </si>
  <si>
    <t>01.02.11.11</t>
  </si>
  <si>
    <t>CODO ELECTROFUSION HDPE DN 250MM X 22.5 PN 10</t>
  </si>
  <si>
    <t>01.02.11.12</t>
  </si>
  <si>
    <t>JUNTA MECANICA DN 250MM TUBERIA DE POLIETILENO-PVC</t>
  </si>
  <si>
    <t>01.02.11.13</t>
  </si>
  <si>
    <t>INSTALACIÓN DE ACCESORIOS DE HDPE DN 200 -250 MM</t>
  </si>
  <si>
    <t>01.02.11.14</t>
  </si>
  <si>
    <t>PRUEBA HIDRÁULICA DE TUBERÍA AGUA POTAB. DN 250</t>
  </si>
  <si>
    <t>01.02.11.15</t>
  </si>
  <si>
    <t>EMPALMES DIRECTOS DE TUBERÍA A LÍNEAS DE AGUA POTABLE DN 200 A 250</t>
  </si>
  <si>
    <t>01.02.12</t>
  </si>
  <si>
    <t>CAMBIO DE LINEA DE REBOSE DE RESERVORIO EN PASAJE</t>
  </si>
  <si>
    <t>01.02.12.01</t>
  </si>
  <si>
    <t>01.02.12.02</t>
  </si>
  <si>
    <t>DEMOLICIÓN DE BUZÓN, DE 1,26 A 1,50 M DE PROFUNDIDAD (INCL. ACOMODO DEL DESMONTE PARA SU ELIMINACIÓN)</t>
  </si>
  <si>
    <t>01.02.12.03</t>
  </si>
  <si>
    <t>ELIMINACIÓN DE DESMONTE R=20 KM PROVENIENTE DE DEMOLICION DE CONCRETO A PULSO (INCL DISPOSICION FINAL - MATERIAL NO PELIGROSO)</t>
  </si>
  <si>
    <t>01.02.12.04</t>
  </si>
  <si>
    <t>01.02.12.05</t>
  </si>
  <si>
    <t>01.02.12.06</t>
  </si>
  <si>
    <t>01.02.12.07</t>
  </si>
  <si>
    <t>01.02.12.08</t>
  </si>
  <si>
    <t>01.02.12.09</t>
  </si>
  <si>
    <t>01.02.12.10</t>
  </si>
  <si>
    <t>01.02.12.11</t>
  </si>
  <si>
    <t>CODO DE PVC-U UF DE 45° DN 250</t>
  </si>
  <si>
    <t>01.02.12.12</t>
  </si>
  <si>
    <t>01.02.12.13</t>
  </si>
  <si>
    <t>EMPALMES DE TUBERÍAS DN 200 A 250 BUZÓN EXISTENTE EN SERVICIO</t>
  </si>
  <si>
    <t>01.02.12.14</t>
  </si>
  <si>
    <t>ADITIVO POLIEPOX "O" UNIVERSAL PEGA CONCRETO NUEVO-VIEJO</t>
  </si>
  <si>
    <t>FRENTE 02 "CAMBIO DE LINEA DE IMPULSION DEL CR-155 AL CR-156"</t>
  </si>
  <si>
    <t>TRANSPORTE A ZONA S/ACCESO:MAT.,DESMONTE P/LÍNEA DN 100 - 150 T-ROCOSO</t>
  </si>
  <si>
    <t>EXCAVAC. ZANJA (MÁQ.) P/TUB. TERR-NORMAL DN 100 - 150 DE 1,01 M A 1,25 M PROF.</t>
  </si>
  <si>
    <t>EXCAVAC. ZANJA (MÁQ.) P/TUB. TERR-NORMAL DN 100 - 150 DE 1,26 M A 1,50 M PROF.</t>
  </si>
  <si>
    <t>EXCAVAC. ZANJA (MÁQ.) P/TUB. TERR-NORMAL DN 100 - 150 DE 1,51 M A 1,75 M PROF.</t>
  </si>
  <si>
    <t>EXCAVAC. ZANJA (MÁQ.) P/TUB. TERR-NORMAL DN 100 - 150 DE 1,76 M A 2,00 M PROF.</t>
  </si>
  <si>
    <t>EXCAVAC. ZANJA (MÁQ.) P/TUB. TERR-NORMAL DN 100 - 150 DE 2,01 M A 2,50 M PROF.</t>
  </si>
  <si>
    <t>EXCAVACIÓN ZANJA (S/EXP) P/TUB. T-ROCOSO DN 100 - 150 DE 0,60 M A 1,00 M PROF.</t>
  </si>
  <si>
    <t>EXCAVACIÓN ZANJA (S/EXP) P/TUB. T-ROCOSO DN 100 - 150 DE 1,26 M A 1,50 M PROF.</t>
  </si>
  <si>
    <t>EXCAVACIÓN ZANJA (S/EXP) P/TUB. T-ROCOSO DN 100 - 150 DE 1,51 M A 1,75 M PROF.</t>
  </si>
  <si>
    <t>EXCAVACIÓN ZANJA (S/EXP) P/TUB. T-ROCOSO DN 100 - 150 DE 1,76 M A 2,00 M PROF.</t>
  </si>
  <si>
    <t>EXCAVACIÓN ZANJA (S/EXP) P/TUB. T-ROCOSO DN 100 - 150 DE 2,01 M A 2,50 M PROF.</t>
  </si>
  <si>
    <t>EXCAVACIÓN ZANJA (S/EXP) P/TUB. T-ROCOSO DN 100 - 150 DE 2,51 M A 3,00 M PROF.</t>
  </si>
  <si>
    <t>REFINE Y NIVEL DE ZANJA TERR-NORMAL PARA TUB. DN 100 - 150 PARA TODA PROFUND.</t>
  </si>
  <si>
    <t>REFINE Y NIVEL DE ZANJA TERR-ROCOSO P/ TUB. DN 100 - 150 PARA TODA PROFUND.</t>
  </si>
  <si>
    <t>RELLENO COMP.ZANJA(PULSO) P/TUB T-NORMAL DN 100 - 150 DE 1,01 M A 1,25 M PROF.</t>
  </si>
  <si>
    <t>RELLENO COMP.ZANJA(PULSO) P/TUB T-NORMAL DN 100 - 150 DE 1,26 M A 1,50 M PROF.</t>
  </si>
  <si>
    <t>RELLENO COMP.ZANJA(PULSO) P/TUB T-NORMAL DN 100 - 150 DE 1,51 M A 1,75 M PROF.</t>
  </si>
  <si>
    <t>RELLENO COMP.ZANJA(PULSO) P/TUB T-NORMAL DN 100 - 150 DE 1,76 M A 2,00 M PROF.</t>
  </si>
  <si>
    <t>RELLENO COMP.ZANJA(PULSO) P/TUB T-NORMAL DN 100 - 150 DE 2,01 M A 2,50 M PROF.</t>
  </si>
  <si>
    <t>RELLENO COMP.ZANJA(PULSO)P/TUB T-ROCOSO DN 100 - 150 DE 0,60 M A 1,00 M PROF.</t>
  </si>
  <si>
    <t>RELLENO COMP.ZANJA(PULSO)P/TUB T-ROCOSO DN 100 - 150 DE 1,26 M A 1,50 M PROF.</t>
  </si>
  <si>
    <t>RELLENO COMP.ZANJA(PULSO)P/TUB T-ROCOSO DN 100 - 150 DE 1,51 M A 1,75 M PROF.</t>
  </si>
  <si>
    <t>RELLENO COMP.ZANJA(PULSO)P/TUB T-ROCOSO DN 100 - 150 DE 1,76 M A 2,00 M PROF.</t>
  </si>
  <si>
    <t>RELLENO COMP.ZANJA(PULSO)P/TUB T-ROCOSO DN 100 - 150 DE 2,01 M A 2,50 M PROF.</t>
  </si>
  <si>
    <t>RELLENO COMP.ZANJA(PULSO)P/TUB T-ROCOSO DN 100 - 150 DE 2,51 M A 3,00 M PROF.</t>
  </si>
  <si>
    <t>ACOMODO DESMONTE (PULSO)T. ROCOSO EN ZONA ALEDAÑA TUB DN 100 - 150 MM</t>
  </si>
  <si>
    <t>ELIMIN. DESMONTE(CARG+V) T-NORMAL D=20KM P/TUB. DN 100 - 150 PARA TODA PROF.</t>
  </si>
  <si>
    <t>ELIMIN. DESMONTE(CARG+V) T-ROCOSO D=20KM P/TUB DN 100 - 150 DE 0,60 M A 1,00 M</t>
  </si>
  <si>
    <t>ELIMIN. DESMONTE(CARG+V) T-ROCOSO D=20KM P/TUB DN 100 - 150 DE 1,26 M A 1,50 M</t>
  </si>
  <si>
    <t>ELIMIN. DESMONTE(CARG+V) T-ROCOSO D=20KM P/TUB DN 100 - 150 DE 1,51 M A 1,75 M</t>
  </si>
  <si>
    <t>ELIMIN. DESMONTE(CARG+V) T-ROCOSO D=20KM P/TUB DN 100 - 150 DE 1,76 M A 2,00 M</t>
  </si>
  <si>
    <t>01.02.02.31</t>
  </si>
  <si>
    <t>ELIMIN. DESMONTE(CARG+V) T-ROCOSO D=20KM P/TUB DN 100 - 150 DE 2,01 M A 2,50 M</t>
  </si>
  <si>
    <t>01.02.02.32</t>
  </si>
  <si>
    <t>ELIMIN. DESMONTE(CARG+V) T-ROCOSO D=20KM P/TUB DN 100 - 150 DE 2,51 M A 3,00 M</t>
  </si>
  <si>
    <t>TUBERÍA DE HIERRO DÚCTIL K-9 DN 150 INCLUYE ANILLO + 1% DE DESPERDICIO</t>
  </si>
  <si>
    <t>INSTALACIÓN DE TUBERÍA DE HIERRO DÚCTIL DN 150 INCLUYE PRUEBA HIDRÁULICA</t>
  </si>
  <si>
    <t>SUMINISTRO E INSTALACIÓN DE MANGA HDPE E= 8 MILS (200 MICRONES) PARA PROTECCIÓN DE TUBERÍA HD DN 150</t>
  </si>
  <si>
    <t>PRUEBA HIDRÁULICA DE TUBERÍA AGUA POTAB. DN 150</t>
  </si>
  <si>
    <t>CODO HIERRO DÚCTIL DE 90° (1/4) 2 ENCHUFES ESTANDAR DN 150</t>
  </si>
  <si>
    <t>CODO HIERRO DÚCTIL DE 45° (1/8) 2 ENCHUFES ESTANDAR DN 150</t>
  </si>
  <si>
    <t>CODO HIERRO DÚCTIL DE 22.5° (1/16) 2 ENCHUFES ESTANDAR DN 150</t>
  </si>
  <si>
    <t>CODO HIERRO DÚCTIL DE 11.25° (1/32) 2 ENCHUFES ESTANDAR DN 150</t>
  </si>
  <si>
    <t>INSTALACIÓN DE ACCESORIOS DE HO. DÚCTIL DN 100 - 150</t>
  </si>
  <si>
    <t>CONCRETO F'C 175 KG/CM2 PARA ANCLAJES DE ACCESORIOS DN 100 - 150 (CEMENTO V)</t>
  </si>
  <si>
    <t>OBRAS CIVILES</t>
  </si>
  <si>
    <t>DADO PARA SOPORTE DE INSTALACIONES HIDRÁULICAS</t>
  </si>
  <si>
    <t>01.02.06.01.01.02</t>
  </si>
  <si>
    <t>PICADO Y RESANES DE MURO PARA NUEVAS INSTALACIONES HIDRAULICAS (PASES)</t>
  </si>
  <si>
    <t>01.02.06.01.01.03</t>
  </si>
  <si>
    <t>CONCRETO F'C 210 KG/CM2 PARA ANCLAJES DE ACCESORIOS DN 110 - 160</t>
  </si>
  <si>
    <t>INSTALACIONES HIDRÁULICAS</t>
  </si>
  <si>
    <t>TUBERÍA DE ACERO SHC-40 P/EQUIPAMIENTO DN 150 INCLUYE 1% DE DESPERDICIO</t>
  </si>
  <si>
    <t>CODO DE HIERRO DÚCTIL DE 45° (1/8) 2 BRIDAS PN 16 DN 150</t>
  </si>
  <si>
    <t>TEE DE HIERRO DÚCTIL CON 3 BRIDAS PN 16 DN 150 X 50</t>
  </si>
  <si>
    <t>TRANSICION ACERO BRIDA ENCHUFE DN 150 MM</t>
  </si>
  <si>
    <t>REDUCCIÓN HIERRO DÚCTIL 2 BRIDAS PN 16 DN 150 A 100</t>
  </si>
  <si>
    <t>01.02.06.01.02.06</t>
  </si>
  <si>
    <t>UNIÓN DE DESMONTAJE AUTOPORTANTE DN 150 MM</t>
  </si>
  <si>
    <t>01.02.06.01.02.07</t>
  </si>
  <si>
    <t>TAPON DE ACERO EMBONE DN 150 MM</t>
  </si>
  <si>
    <t>01.02.06.01.02.08</t>
  </si>
  <si>
    <t>BRIDA DE ACERO PARA SOLDAR Y EMPERNAR DN 150</t>
  </si>
  <si>
    <t>01.02.06.01.02.09</t>
  </si>
  <si>
    <t>EMPAQUETADURA DE JEBE ENLONADA DN 150</t>
  </si>
  <si>
    <t>01.02.06.01.02.10</t>
  </si>
  <si>
    <t>EMPAQUETADURA DE JEBE ENLONADA DN 100</t>
  </si>
  <si>
    <t>ABRAZADERA DE ACERO DN 150</t>
  </si>
  <si>
    <t>PERNO DE ACERO INCLUYE TUERCA PARA UNIR BRIDAS DN 150</t>
  </si>
  <si>
    <t>PERNO DE ACERO INCLUYE TUERCA PARA UNIR BRIDAS DN 100</t>
  </si>
  <si>
    <t>VÁLVULA CPTA.BB, HO.DÚCTIL CIERRE ELÁST. VÁSTAGO ACERO INOXIDABLE DN 50</t>
  </si>
  <si>
    <t>VÁLVULA AIRE AUTOMÁTICA TRIPLE EFECTO BRIDADA PN 16 ESFERA DE ACERO INOXIDABLE DN 50</t>
  </si>
  <si>
    <t>MONTAJE DE INSTALACIONES HIDRAULICAS DE LA CISTERNA CR-155</t>
  </si>
  <si>
    <t>PASE DE TUBERÍA POR MURO DE RESERVORIO EXISTENTE INCL. ROTURA Y RESANE</t>
  </si>
  <si>
    <t>01.02.06.02.01.02</t>
  </si>
  <si>
    <t>CORTE+ROTURA, ED Y REPOSICIÓN DE PISO F'C 140 KG/CM2 DE 10 CM ESPESOR (CEMENTO PV)</t>
  </si>
  <si>
    <t>01.02.06.02.01.03</t>
  </si>
  <si>
    <t>ACOPLE METÁLICO DE AMPLIO RANGO PARA TUBERÍA DN 150 R= 160/181,6</t>
  </si>
  <si>
    <t>MONTAJE DE INSTALACIONES HIDRAULICAS DE LA CISTERNA CR-156</t>
  </si>
  <si>
    <t>CAMARA DE VALVULA DE AIRE (KM 0+300.00)</t>
  </si>
  <si>
    <t>MONTAJE DE VÁLVULA DE AIRE DN 40 A 50 E INSTALACIÓN HIDRÁULICA</t>
  </si>
  <si>
    <t>SUMINISTRO INSTALACIÓN HIDRÁULICA PARA VÁLVULA DE AIRE DN 50</t>
  </si>
  <si>
    <t>CAMARA DE VALVULA DE AIRE (KM 1+014.39)</t>
  </si>
  <si>
    <t>CÁMARA PARA VÁLVULA DE PURGA (KM 0+083.572)</t>
  </si>
  <si>
    <t>VÁLVULA DE PURGA DN 50 COMPUERTA TIPO BRIDADA DE HIERRO DÚCTIL C/ELASTÓMERO</t>
  </si>
  <si>
    <t>MONTAJE DE VÁLVULA DE PURGA DN 50 E INSTALACIÓN HIDRÁULICA</t>
  </si>
  <si>
    <t>SUMINISTRO INSTALACIÓN HIDRÁULICA PARA VÁLVULA DE PURGA DN 50</t>
  </si>
  <si>
    <t>EMPALME N° 01 (CR-155)</t>
  </si>
  <si>
    <t>EMPALME N° 02 (CR-156)</t>
  </si>
  <si>
    <t>FRENTE 03 "CAMBIO DE LINEA DE IMPULSION DEL CR-138 A CR-24"</t>
  </si>
  <si>
    <t>EXCAV. ZANJA (PULSO) P/TUB. TERR-NORMAL DN 100 - 150 DE 1,26 M A 1,50 M PROF.</t>
  </si>
  <si>
    <t>EXCAV. ZANJA (PULSO) P/TUB. TERR-NORMAL DN 100 - 150 DE 1,51 M A 1,75 M PROF.</t>
  </si>
  <si>
    <t>EXCAV. ZANJA (PULSO) P/TUB. TERR-NORMAL DN 100 - 150 DE 1,76 M A 2,00 M PROF.</t>
  </si>
  <si>
    <t>ACARREO DE DESMONTE (PULSO) P/TUB.DN 100 - 150 MM T. NORMAL EN ZONA ALEDAÑA</t>
  </si>
  <si>
    <t>EXCAV. ZANJA (PULSO) P/TUB. TERR-NORMAL DN 100 - 150 DE 1,01 M A 1,25 M PROF.</t>
  </si>
  <si>
    <t>REDUCCIÓN HO. DÚCTIL 2 ENCHUFES ESTANDAR DN 200 A 150</t>
  </si>
  <si>
    <t>TUBERÍA DE ACERO SHC-40 DN 200 INCLUYE 1% DE DESPERDICIO</t>
  </si>
  <si>
    <t>01.02.06.01.03.02</t>
  </si>
  <si>
    <t>VÁLVULA MARIPOSA BB DN 200 HO. DÚCTIL EXCÉNT,ASIENTO-EJE ACERO INOXIDABLE</t>
  </si>
  <si>
    <t>01.02.06.01.03.03</t>
  </si>
  <si>
    <t>UNIÓN DE DESMONTAJE AUTOPORTANTE DN 200 MM</t>
  </si>
  <si>
    <t>01.02.06.01.03.04</t>
  </si>
  <si>
    <t>BRIDA DE ACERO PARA SOLDAR Y EMPERNAR DN 200</t>
  </si>
  <si>
    <t>01.02.06.01.03.05</t>
  </si>
  <si>
    <t>EMPAQUETADURA DE JEBE ENLONADA DN 200</t>
  </si>
  <si>
    <t>01.02.06.01.03.06</t>
  </si>
  <si>
    <t>PERNO DE ACERO INCLUYE TUERCA PARA UNIR BRIDAS DN 200</t>
  </si>
  <si>
    <t>01.02.06.01.03.07</t>
  </si>
  <si>
    <t>MONTAJE DE INSTALACIONES HIDRAULICAS DE LA CISTERNA CR-138</t>
  </si>
  <si>
    <t>TUBERÍA DE ACERO SHC-40 DN 150 INCLUYE 1% DE DESPERDICIO</t>
  </si>
  <si>
    <t>BRIDA-ENCHUFE ESTANDAR DE HIERRO DÚCTIL PN 16 DN 150</t>
  </si>
  <si>
    <t>01.02.06.02.02.07</t>
  </si>
  <si>
    <t>01.02.06.02.02.08</t>
  </si>
  <si>
    <t>01.02.06.02.02.09</t>
  </si>
  <si>
    <t>MONTAJE DE INSTALACIONES HIDRAULICAS DE LA CISTERNA R-194</t>
  </si>
  <si>
    <t>CAMARA DE VALVULA DE AIRE (KM 0+438.11)</t>
  </si>
  <si>
    <t>CAMARA DE VALVULA DE AIRE (KM 0+740.00)</t>
  </si>
  <si>
    <t>CÁMARA PARA VÁLVULA DE PURGA (KM 0+595.00)</t>
  </si>
  <si>
    <t>CORTE+ROTURA, ED Y REPOSICION DE CANAL DE CONCRETO FC=210 KG/CM2</t>
  </si>
  <si>
    <t>CORTE+ROTURA, ED Y REPOSICION DE VEREDA RIGIDA F'C=175KG/CM2 DE 10CM DE ESPESOR (CEMENTO P-V)</t>
  </si>
  <si>
    <t>EMPALME N° 01 (CR-138)</t>
  </si>
  <si>
    <t>EMPALME N° 02 (R-194)</t>
  </si>
  <si>
    <t>FRENTE 04 "CAMBIO DE LINEA DE IMPULSION DEL CR-156 AL R-209"</t>
  </si>
  <si>
    <t>EXCAVACIÓN ZANJA (S/EXP) P/TUB. T-ROCOSO DN 100 - 150 DE 1,01 M A 1,25 M PROF.</t>
  </si>
  <si>
    <t>RELLENO COMP.ZANJA(PULSO)P/TUB T-ROCOSO DN 100 - 150 DE 1,01 M A 1,25 M PROF.</t>
  </si>
  <si>
    <t>ELIMIN. DESMONTE(CARG+V) T-ROCOSO D=20KM P/TUB DN 100 - 150 DE 1,01 M A 1,25 M</t>
  </si>
  <si>
    <t>TUBERÍA DE HIERRO DÚCTIL K-9 DN 100 INCLUYE ANILLO + 1% DE DESPERDICIO</t>
  </si>
  <si>
    <t>INSTALACIÓN DE TUBERÍA DE HIERRO DÚCTIL DN 100 INCLUYE PRUEBA HIDRÁULICA</t>
  </si>
  <si>
    <t>SUMINISTRO E INSTALACIÓN DE MANGA HDPE E= 8 MILS (200 MICRONES) PARA PROTECCIÓN DE TUBERÍA HD DN 100</t>
  </si>
  <si>
    <t>CODO HIERRO DÚCTIL DE 90° (1/4) 2 ENCHUFES ESTANDAR DN 100</t>
  </si>
  <si>
    <t>CODO HIERRO DÚCTIL DE 45° (1/8) 2 ENCHUFES ESTANDAR DN 100</t>
  </si>
  <si>
    <t>CODO HIERRO DÚCTIL DE 22.5° (1/16) 2 ENCHUFES ESTANDAR DN 100</t>
  </si>
  <si>
    <t>CODO HIERRO DÚCTIL DE 11.25° (1/32) 2 ENCHUFES ESTANDAR DN 100</t>
  </si>
  <si>
    <t>TEE CON 3 ENCHUFES ESTANDAR DE HO. DÚCTIL DN 100 X 100</t>
  </si>
  <si>
    <t>01.02.04.02.03</t>
  </si>
  <si>
    <t>TUBERÍA DE ACERO SHC-40 DN 100 INCLUYE 1% DE DESPERDICIO</t>
  </si>
  <si>
    <t>CODO DE HIERRO DÚCTIL DE 45° (1/8) 2 BRIDAS PN 16 DN 100</t>
  </si>
  <si>
    <t>01.02.06.01.04</t>
  </si>
  <si>
    <t>BRIDA DE ACERO PARA SOLDAR Y EMPERNAR DN 100</t>
  </si>
  <si>
    <t>01.02.06.01.05</t>
  </si>
  <si>
    <t>01.02.06.01.06</t>
  </si>
  <si>
    <t>01.02.06.01.07</t>
  </si>
  <si>
    <t>01.02.06.01.08</t>
  </si>
  <si>
    <t>01.02.06.02.01.04</t>
  </si>
  <si>
    <t>01.02.06.02.01.05</t>
  </si>
  <si>
    <t>PRUEBA HIDRÁULICA DE TUBERÍA AGUA POTAB. DN 100</t>
  </si>
  <si>
    <t>REDUCCIÓN HO. DÚCTIL 2 ENCHUFES ESTANDAR DN 150 A 100</t>
  </si>
  <si>
    <t>PASE DE TUBERÍA POR ESTRUCTURA EXISTENTE INCL. ROTURA Y RESANE</t>
  </si>
  <si>
    <t>01.02.06.03.01.02</t>
  </si>
  <si>
    <t>ACOPLE METÁLICO DE AMPLIO RANGO PARA TUBERÍA DN 100 R= 110/127,8</t>
  </si>
  <si>
    <t>MONTAJE DE INSTALACIONES HIDRAULICAS DEL RESERVORIO RP-04</t>
  </si>
  <si>
    <t>CAMARA DE VALVULA DE AIRE (KM 0+003.13)</t>
  </si>
  <si>
    <t>CÁMARA PARA VÁLVULA DE AIRE T. ROCOSO</t>
  </si>
  <si>
    <t>CAMARA DE VALVULA DE AIRE (KM 0+325.00)</t>
  </si>
  <si>
    <t>CAMARA DE VALVULA DE AIRE (KM 0+520.00)</t>
  </si>
  <si>
    <t>CAMARA DE VALVULA DE AIRE (KM 0+720.00)</t>
  </si>
  <si>
    <t>CÁMARA PARA VÁLVULA DE PURGA (KM 0+205.00)</t>
  </si>
  <si>
    <t>MURO DE CONTENCION</t>
  </si>
  <si>
    <t>TRAZO Y REPLANTEO</t>
  </si>
  <si>
    <t>REPLANTEO FINAL DE LA OBRA CON ESTACIÓN TOTAL</t>
  </si>
  <si>
    <t>EXCAVACION TERRENO ROCOSO</t>
  </si>
  <si>
    <t>REFINE, NIVELACIÓN Y COMPACTACIÓN EN TERRENO NORMAL A PULSO</t>
  </si>
  <si>
    <t>01.02.09.05</t>
  </si>
  <si>
    <t>RELLENO COMPACTADO EN TERRENO ROCOSO A PULSO</t>
  </si>
  <si>
    <t>01.02.09.06</t>
  </si>
  <si>
    <t>ELIMINACIÓN DE DESMONTE EN TERRENO ROCOSO R=20 KM A PULSO</t>
  </si>
  <si>
    <t>01.02.09.07</t>
  </si>
  <si>
    <t>CONCRETO F'C 100 KG/CM2 PARA SOLADOS Y/O SUB BASES (CEMENTO P-V)</t>
  </si>
  <si>
    <t>01.02.09.08</t>
  </si>
  <si>
    <t>CONCRETO F'C 210 KG/CM2 PARA ZAPATAS (CEMENTO P-V)</t>
  </si>
  <si>
    <t>01.02.09.09</t>
  </si>
  <si>
    <t>ENCOFRADO PARA ZAPATAS (INCL. HABILITACIÓN DE MADERA)</t>
  </si>
  <si>
    <t>01.02.09.10</t>
  </si>
  <si>
    <t>ACERO ESTRUC. TRABAJADO P/ZAPATA ARMADA (COSTO PROM. INCL. DESPERDICIOS)</t>
  </si>
  <si>
    <t>KG</t>
  </si>
  <si>
    <t>01.02.09.11</t>
  </si>
  <si>
    <t>CONCRETO F'C 210 KG/CM2 PARA MUROS REFORZADOS (CEMENTO P-V)</t>
  </si>
  <si>
    <t>01.02.09.12</t>
  </si>
  <si>
    <t>ENCOFRADO (INCL. HABILITACIÓN DE MADERA) PARA MUROS RECTOS</t>
  </si>
  <si>
    <t>01.02.09.13</t>
  </si>
  <si>
    <t>ACERO ESTRUCTURAL TRABAJADO P/MURO RECTOS (COSTO PROM. I/DESPERDIC.)</t>
  </si>
  <si>
    <t>01.02.09.14</t>
  </si>
  <si>
    <t>RELLENO COMPACTADO CON MATERIAL DE PRÉSTAMO SELECCIONADO (INCL. PROVISIÓN)</t>
  </si>
  <si>
    <t>EMPALME N° 01 (CRR-156)</t>
  </si>
  <si>
    <t>EMPALME N° 02 DERIVACIÓN (0+585.79)</t>
  </si>
  <si>
    <t>EMPALME N° 03 (RP-04)</t>
  </si>
  <si>
    <t>FRENTE 05 "CAMBIO DE LINEA DE IMPULSION DEL CR 138 (NEWTON) AL R-183"</t>
  </si>
  <si>
    <t>EXCAVAC. ZANJA (MÁQ.) P/TUB. TERR-NORMAL DN 200 - 250 DE 1,51 M A 1,75 M PROF.</t>
  </si>
  <si>
    <t>EXCAVAC. ZANJA (MÁQ.) P/TUB. TERR-NORMAL DN 200 - 250 DE 2,51 M A 3,00 M PROF.</t>
  </si>
  <si>
    <t>EXCAVAC. ZANJA (MÁQ.) P/TUB. TERR-NORMAL DN 300 - 350 DE 1,26 M A 1,50 M PROF.</t>
  </si>
  <si>
    <t>EXCAVAC. ZANJA (MÁQ.) P/TUB. TERR-NORMAL DN 300 - 350 DE 1,51 M A 1,75 M PROF.</t>
  </si>
  <si>
    <t>EXCAVAC. ZANJA (MÁQ.) P/TUB. TERR-NORMAL DN 300 - 350 DE 1,76 M A 2,00 M PROF.</t>
  </si>
  <si>
    <t>EXCAVAC. ZANJA (MÁQ.) P/TUB. TERR-NORMAL DN 300 - 350 DE 2,01 M A 2,50 M PROF.</t>
  </si>
  <si>
    <t>EXCAVACIÓN ZANJA (S/EXP) P/TUB. T-ROCOSO DN 200 - 250 DE 2,01 M A 2,50 M PROF.</t>
  </si>
  <si>
    <t>RELLENO COMP.ZANJA(PULSO) P/TUB T-NORMAL DN 200 - 250 DE 1,26 M A 1,50 M PROF.</t>
  </si>
  <si>
    <t>RELLENO COMP.ZANJA(PULSO) P/TUB T-NORMAL DN 200 - 250 DE 1,51 M A 1,75 M PROF.</t>
  </si>
  <si>
    <t>RELLENO COMP.ZANJA(PULSO) P/TUB T-NORMAL DN 200 - 250 DE 1,76 M A 2,00 M PROF.</t>
  </si>
  <si>
    <t>RELLENO COMP.ZANJA(PULSO) P/TUB T-NORMAL DN 200 - 250 DE 2,01 M A 2,50 M PROF.</t>
  </si>
  <si>
    <t>RELLENO COMP.ZANJA(PULSO) P/TUB T-NORMAL DN 300 - 350 DE 1,26 M A 1,50 M PROF.</t>
  </si>
  <si>
    <t>RELLENO COMP.ZANJA(PULSO) P/TUB T-NORMAL DN 300 - 350 DE 1,51 M A 1,75 M PROF.</t>
  </si>
  <si>
    <t>RELLENO COMP.ZANJA(PULSO) P/TUB T-NORMAL DN 300 - 350 DE 1,76 M A 2,00 M PROF.</t>
  </si>
  <si>
    <t>RELLENO COMP.ZANJA(PULSO)P/TUB T-ROCOSO DN 200 - 250 DE 2,01 M A 2,50 M PROF.</t>
  </si>
  <si>
    <t>ELIMIN. DESMONTE(CARG+V) T-ROCOSO D=20KM P/TUB DN 200 - 250 DE 2,01 M A 2,50 M</t>
  </si>
  <si>
    <t>TUBERÍA DE ACERO SHC-40 P/EQUIPAMIENTO DN 250 INCLUYE 1% DE DESPERDICIO</t>
  </si>
  <si>
    <t>INSTALACIÓN TUBERÍA DE ACERO PARA AGUA POTABLE DN 250 INCLUYE PRUEBA HIDRÁULICA</t>
  </si>
  <si>
    <t>INSTALACIÓN TUBERÍA DE ACERO PARA AGUA POTABLE DN 300 INCLUYE PRUEBA HIDRÁULICA</t>
  </si>
  <si>
    <t>SUMINISTRO E INSTALACIÓN DE MANGA HDPE E= 8 MILS (200 MICRONES) PARA PROTECCIÓN DE TUBERÍA HD DN 250</t>
  </si>
  <si>
    <t>CODO HIERRO DÚCTIL DE 45° (1/8) 2 ENCHUFES ESTANDAR DN 200</t>
  </si>
  <si>
    <t>CODO HIERRO DÚCTIL DE 22.5° (1/16) 2 ENCHUFES ESTANDAR DN 200</t>
  </si>
  <si>
    <t>CODO HIERRO DÚCTIL DE 90° (1/4) 2 ENCHUFES ESTANDAR DN 250</t>
  </si>
  <si>
    <t>CODO HIERRO DÚCTIL DE 45° (1/8) 2 ENCHUFES ESTANDAR DN 250</t>
  </si>
  <si>
    <t>CODO HIERRO DÚCTIL DE 22.5° (1/16) 2 ENCHUFES ESTANDAR DN 250</t>
  </si>
  <si>
    <t>01.02.04.01.08</t>
  </si>
  <si>
    <t>CODO HIERRO DÚCTIL DE 11.25° (1/32) 2 ENCHUFES ESTANDAR DN 250</t>
  </si>
  <si>
    <t>01.02.04.01.09</t>
  </si>
  <si>
    <t>01.02.04.01.10</t>
  </si>
  <si>
    <t>01.02.04.01.11</t>
  </si>
  <si>
    <t>01.02.04.01.12</t>
  </si>
  <si>
    <t>TEE CON 3 ENCHUFES ESTANDAR DE HO. DÚCTIL DN 200 X 200</t>
  </si>
  <si>
    <t>01.02.04.01.13</t>
  </si>
  <si>
    <t>TEE CON 3 ENCHUFES ESTANDAR DE HO. DÚCTIL DN 250 X 200</t>
  </si>
  <si>
    <t>01.02.04.01.14</t>
  </si>
  <si>
    <t>TEE CON 3 ENCHUFES ESTANDAR DE HO. DÚCTIL DN 300 X 100</t>
  </si>
  <si>
    <t>01.02.04.01.15</t>
  </si>
  <si>
    <t>TEE CON 3 ENCHUFES ESTANDAR DE HO. DÚCTIL DN 300 X 200</t>
  </si>
  <si>
    <t>01.02.04.01.16</t>
  </si>
  <si>
    <t>REDUCCIÓN HO. DÚCTIL 2 ENCHUFES ESTANDAR DN 300 A 250</t>
  </si>
  <si>
    <t>01.02.04.01.17</t>
  </si>
  <si>
    <t>INSTALACIÓN DE ACCESORIOS DE HO. DÚCTIL DN 200 - 250</t>
  </si>
  <si>
    <t>01.02.04.02.04</t>
  </si>
  <si>
    <t>01.02.04.02.05</t>
  </si>
  <si>
    <t>CONCRETO F'C 175 KG/CM2 PARA ANCLAJES DE ACCESORIOS DN 200 - 250 (CEMENTO V)</t>
  </si>
  <si>
    <t>01.02.04.02.06</t>
  </si>
  <si>
    <t>01.02.06.01.01.04</t>
  </si>
  <si>
    <t>01.02.06.01.01.05</t>
  </si>
  <si>
    <t>01.02.06.02.04</t>
  </si>
  <si>
    <t>01.02.06.02.05</t>
  </si>
  <si>
    <t>01.02.06.02.06</t>
  </si>
  <si>
    <t>01.02.06.02.07</t>
  </si>
  <si>
    <t>01.02.06.02.08</t>
  </si>
  <si>
    <t>01.02.06.02.09</t>
  </si>
  <si>
    <t>01.02.06.03.01.03</t>
  </si>
  <si>
    <t>01.02.06.03.01.04</t>
  </si>
  <si>
    <t>01.02.06.03.01.05</t>
  </si>
  <si>
    <t>INSTALACIÓN DE VÁLVULA COMPUERTA DN 100 A 150 MM INCL. REGISTRO</t>
  </si>
  <si>
    <t>01.02.06.04</t>
  </si>
  <si>
    <t>01.02.06.04.01</t>
  </si>
  <si>
    <t>01.02.06.04.01.01</t>
  </si>
  <si>
    <t>01.02.06.04.01.02</t>
  </si>
  <si>
    <t>01.02.06.04.01.03</t>
  </si>
  <si>
    <t>01.02.06.04.01.04</t>
  </si>
  <si>
    <t>01.02.06.04.01.05</t>
  </si>
  <si>
    <t>01.02.06.04.02</t>
  </si>
  <si>
    <t>01.02.06.04.02.01</t>
  </si>
  <si>
    <t>EXCAV. ZANJA (PULSO) P/TUB. TERR-NORMAL DN 200 - 250 DE 1,26 M A 1,50 M PROF.</t>
  </si>
  <si>
    <t>01.02.06.04.02.02</t>
  </si>
  <si>
    <t>01.02.06.04.02.03</t>
  </si>
  <si>
    <t>01.02.06.04.02.04</t>
  </si>
  <si>
    <t>TUBERÍA DE HIERRO DÚCTIL K-9 DN 200 INCLUYE ANILLO + 1% DE DESPERDICIO</t>
  </si>
  <si>
    <t>INSTALACIÓN DE TUBERÍA DE HIERRO DÚCTIL DN 200 INCLUYE PRUEBA HIDRÁULICA</t>
  </si>
  <si>
    <t>SUMINISTRO E INSTALACIÓN DE MANGA HDPE E= 8 MILS (200 MICRONES) PARA PROTECCIÓN DE TUBERÍAHD DN 200</t>
  </si>
  <si>
    <t>PRUEBA HIDRÁULICA DE TUBERÍA AGUA POTAB. DN 200</t>
  </si>
  <si>
    <t>CODO DE HIERRO DÚCTIL DE 22.5° (1/16) 2 BRIDAS PN 16 DN 200</t>
  </si>
  <si>
    <t>BRIDA-ENCHUFE ESTANDAR DE HIERRO DÚCTIL PN 16 DN 200</t>
  </si>
  <si>
    <t>VÁLVULA CPTA.BB, HO.DÚCTIL CIERRE ELÁST. VÁSTAGO ACERO INOXIDABLE DN 200</t>
  </si>
  <si>
    <t>INSTALACIÓN DE VÁLVULA COMPUERTA DN 200 A 250 MM INCL. REGISTRO</t>
  </si>
  <si>
    <t>01.02.06.05</t>
  </si>
  <si>
    <t>01.02.06.05.01</t>
  </si>
  <si>
    <t>01.02.06.05.01.01</t>
  </si>
  <si>
    <t>01.02.06.05.01.02</t>
  </si>
  <si>
    <t>01.02.06.05.01.03</t>
  </si>
  <si>
    <t>01.02.06.05.01.04</t>
  </si>
  <si>
    <t>01.02.06.05.01.05</t>
  </si>
  <si>
    <t>01.02.06.05.02</t>
  </si>
  <si>
    <t>01.02.06.05.02.01</t>
  </si>
  <si>
    <t>01.02.06.05.02.02</t>
  </si>
  <si>
    <t>01.02.06.05.02.03</t>
  </si>
  <si>
    <t>01.02.06.05.02.04</t>
  </si>
  <si>
    <t>CODO HIERRO DÚCTIL DE 90° (1/4) 2 ENCHUFES ESTANDAR DN 200</t>
  </si>
  <si>
    <t>EMPAQUETADURA DE JEBE ENLONADA DN 250</t>
  </si>
  <si>
    <t>PERNO DE ACERO INCLUYE TUERCA PARA UNIR BRIDAS DN 250</t>
  </si>
  <si>
    <t>01.02.06.06</t>
  </si>
  <si>
    <t>01.02.06.06.01</t>
  </si>
  <si>
    <t>01.02.06.06.02</t>
  </si>
  <si>
    <t>CODO DE HIERRO DÚCTIL DE 45° (1/8) 2 BRIDAS PN 16 DN 250</t>
  </si>
  <si>
    <t>CODO DE HIERRO DÚCTIL DE 90° (1/4) 2 BRIDAS PN 16 DN 250</t>
  </si>
  <si>
    <t>BRIDA-ENCHUFE ESTANDAR DE HIERRO DÚCTIL PN 16 DN 250</t>
  </si>
  <si>
    <t>BRIDA DE ACERO PARA SOLDAR Y EMPERNAR DN 250</t>
  </si>
  <si>
    <t>BRIDA DE ACERO PARA SOLDAR ANCLAJE DN 250</t>
  </si>
  <si>
    <t>SOPORTE METÁLICO TIPO TRÍPODE P/TUBERÍA DN 200 A 250</t>
  </si>
  <si>
    <t>MONTAJE DE INSTALACIONES HIDRAULICAS DEL RESERVORIO R-183</t>
  </si>
  <si>
    <t>CAMARA DE VALVULA DE AIRE (KM 0+266.21)</t>
  </si>
  <si>
    <t>CAMARA DE VALVULA DE AIRE (KM 1+721.69)</t>
  </si>
  <si>
    <t>CAMARA DE VALVULA DE ALIVIO (KM 0+966.174)</t>
  </si>
  <si>
    <t>CÁMARA PARA VÁLVULA DE ALIVIO T. NORMAL</t>
  </si>
  <si>
    <t>VÁLVULA DE ALIVIO CONTROL PILOTO BRIDADA DN 150</t>
  </si>
  <si>
    <t>MONTAJE DE VÁLVULA DE ALIVIO DN 150 E INSTALACIÓN HIDRÁULICA</t>
  </si>
  <si>
    <t>SUMINISTRO INSTALACIÓN HIDRÁULICA PARA VÁLVULA DE ALIVIO DN 150</t>
  </si>
  <si>
    <t>CORTE+ROTURA, ED Y REPOSIC. DE PAVIMENTO RÍGIDO F'C 210 KG/CM2 DE E= 6"</t>
  </si>
  <si>
    <t>CORTE+ROTURA, ED Y REPOSICIÓN DE VEREDA RÍGIDA F'C 175 KG/CM2 DE 10 CM ESPESOR</t>
  </si>
  <si>
    <t>ROTURA, ED Y REPOSICION DE ADOQUINADO</t>
  </si>
  <si>
    <t>CORTE DE TUBERÍA DN 200 - 250 PARA DELIMITAR ZONA DE SERVICIO</t>
  </si>
  <si>
    <t>EMPALME N° 02 DERIVACIÓN (1+546.58)</t>
  </si>
  <si>
    <t>EMPALME N° 03 DERIVACIÓN (1+676.02)</t>
  </si>
  <si>
    <t>01.02.10.04</t>
  </si>
  <si>
    <t>EMPALME N° 04 DERIVACIÓN (2+569.54)</t>
  </si>
  <si>
    <t>CR-11</t>
  </si>
  <si>
    <t>CR-12</t>
  </si>
  <si>
    <t>R-190</t>
  </si>
  <si>
    <t>EMPALME N° 01</t>
  </si>
  <si>
    <t>EMPALME N° 02</t>
  </si>
  <si>
    <t xml:space="preserve">EMPALME N° 03 </t>
  </si>
  <si>
    <t>CR-155</t>
  </si>
  <si>
    <t>CR-156</t>
  </si>
  <si>
    <t>CR-138</t>
  </si>
  <si>
    <t>R-194</t>
  </si>
  <si>
    <t>0+585.79</t>
  </si>
  <si>
    <t>RP-04</t>
  </si>
  <si>
    <t>EMPALME N° 03</t>
  </si>
  <si>
    <t>EMPALME N° 04</t>
  </si>
  <si>
    <t>1+546.58</t>
  </si>
  <si>
    <t>1+676.02</t>
  </si>
  <si>
    <t>2+569.54</t>
  </si>
  <si>
    <t>AIRE</t>
  </si>
  <si>
    <t>PURGA</t>
  </si>
  <si>
    <t>CÁMARAS DE VÁLVULAS</t>
  </si>
  <si>
    <t>DN 300</t>
  </si>
  <si>
    <t>DN 350</t>
  </si>
  <si>
    <t>DN 100</t>
  </si>
  <si>
    <t>COMPUERTA</t>
  </si>
  <si>
    <t>ALTITUD</t>
  </si>
  <si>
    <t>0+300</t>
  </si>
  <si>
    <t>1+014.39</t>
  </si>
  <si>
    <t>0+83.57</t>
  </si>
  <si>
    <t>AIRE DN 50</t>
  </si>
  <si>
    <t>PURGA DN 50</t>
  </si>
  <si>
    <t>0+438.11</t>
  </si>
  <si>
    <t>0+740.00</t>
  </si>
  <si>
    <t>0+595.00</t>
  </si>
  <si>
    <t>0+003.13</t>
  </si>
  <si>
    <t>0+325.00</t>
  </si>
  <si>
    <t>0+520.00</t>
  </si>
  <si>
    <t>0+720.00</t>
  </si>
  <si>
    <t>0+205.00</t>
  </si>
  <si>
    <t>AIRE DN 100</t>
  </si>
  <si>
    <t>ALIVIO DN 150</t>
  </si>
  <si>
    <t>0+266.21</t>
  </si>
  <si>
    <t>1+721.69</t>
  </si>
  <si>
    <t>0+966.17</t>
  </si>
  <si>
    <t>Presupuesto:</t>
  </si>
  <si>
    <t>Lugar:</t>
  </si>
  <si>
    <t>LÍNEA</t>
  </si>
  <si>
    <t>COD. PLANO</t>
  </si>
  <si>
    <t>CODO 11.25</t>
  </si>
  <si>
    <t>CODO 22.5</t>
  </si>
  <si>
    <t>CODO 45</t>
  </si>
  <si>
    <t>CODO 90</t>
  </si>
  <si>
    <t>VÁLVULA DE PURGA</t>
  </si>
  <si>
    <t>VÁLVULA DE AIRE</t>
  </si>
  <si>
    <t>VÁLVULA CPTA</t>
  </si>
  <si>
    <t>ACC.</t>
  </si>
  <si>
    <t>MAT.</t>
  </si>
  <si>
    <t>DN / °</t>
  </si>
  <si>
    <t>CANT.</t>
  </si>
  <si>
    <t>TEE</t>
  </si>
  <si>
    <t>CODO</t>
  </si>
  <si>
    <t>TOTAL</t>
  </si>
  <si>
    <t>REDUCCIÓN</t>
  </si>
  <si>
    <t>METRADO DE ACCESORIOS Y VÁLVULAS DE LINEAS DE IMPULSIÓN</t>
  </si>
  <si>
    <t>FRENTE 01</t>
  </si>
  <si>
    <t>FRENTE 02</t>
  </si>
  <si>
    <t>FRENTE 03</t>
  </si>
  <si>
    <t>FRENTE 04</t>
  </si>
  <si>
    <t>TEE 100 x ___</t>
  </si>
  <si>
    <t>TEE 200 x ___</t>
  </si>
  <si>
    <t>TEE 300 x ___</t>
  </si>
  <si>
    <t>TEE 350 x ___</t>
  </si>
  <si>
    <t>TEE 250 x ___</t>
  </si>
  <si>
    <t>SUSTENTO DE METRADOS</t>
  </si>
  <si>
    <t>00+000 - 00+050.57 (proximo a CR -156)</t>
  </si>
  <si>
    <t>00+913.45 - 00+940 (Subida a R-209)</t>
  </si>
  <si>
    <t>00+900 - 00+913.45 (subida a R - 209)</t>
  </si>
  <si>
    <t>00+940.00 - 00+969.89 (proximo a R-209)</t>
  </si>
  <si>
    <t>00+050.57 - 00+100 (Proximo a CR -156)</t>
  </si>
  <si>
    <t>R-190 (Graña y Montero)</t>
  </si>
  <si>
    <t>CR - 12</t>
  </si>
  <si>
    <t>Progres. 0+000.00 - 0+010.68 (Bajada de CR -155)</t>
  </si>
  <si>
    <t>Progres. 01+127.64 - 01+191.27 (Sub a CR - 156, desmonte)</t>
  </si>
  <si>
    <t>Progres. 01+205.54 - 01+221.98 (Subida a CR - 156)</t>
  </si>
  <si>
    <t>Progres. 01+221.98 - 01+234.27 (Subida a CR - 156)</t>
  </si>
  <si>
    <t>Progres. 0+010.68 - 0+040 (Bajada de CR - 155)</t>
  </si>
  <si>
    <t>Progres.   0+040 - 0+087.01 (Psaje s/n)</t>
  </si>
  <si>
    <t>Progres. 01+191.27 - 01+205.54 (Subida a CR -156)</t>
  </si>
  <si>
    <t>Pje  El Morro (0+840 - 0+892.79)</t>
  </si>
  <si>
    <t>Pje Monte Umbroso (0+904.54 - 0+944.88)</t>
  </si>
  <si>
    <t>Calle Monte Verde ( 0+956.16  - 0+965.74)</t>
  </si>
  <si>
    <t>Prolong la cañada ( progresiva 0+210-00+240)</t>
  </si>
  <si>
    <t>Sobreexcavcion de 0.40m por terreno rocoso . Ancho</t>
  </si>
  <si>
    <t>Contrafuerte</t>
  </si>
  <si>
    <t>De Excavación</t>
  </si>
  <si>
    <t>De Relleno</t>
  </si>
  <si>
    <t>ø 3/8" @ 0.20</t>
  </si>
  <si>
    <t>Horizontal</t>
  </si>
  <si>
    <t>Vertical</t>
  </si>
  <si>
    <t>Muro Típico</t>
  </si>
  <si>
    <t>kg/ml</t>
  </si>
  <si>
    <t>B menor</t>
  </si>
  <si>
    <t>B mayor</t>
  </si>
  <si>
    <t>Área</t>
  </si>
  <si>
    <t>CORTE TUB.</t>
  </si>
  <si>
    <t>INSERC. BUZON</t>
  </si>
  <si>
    <t>100 - 150</t>
  </si>
  <si>
    <t>300 - 350</t>
  </si>
  <si>
    <t>TIPO I</t>
  </si>
  <si>
    <t xml:space="preserve">CALZADURA </t>
  </si>
  <si>
    <t>MURO</t>
  </si>
  <si>
    <t>200 - 250</t>
  </si>
  <si>
    <t>ANCLAJE DE TUBERÍA DN 150 MM</t>
  </si>
  <si>
    <t>Subida CR - 156 (prog 0+000.00 - 0+050.57)</t>
  </si>
  <si>
    <t>Subida R - 209 ((prog 00+913.45 - 00+969.89)</t>
  </si>
  <si>
    <t>Long.</t>
  </si>
  <si>
    <t>ANCLAJE DE TUBERÍA DN 350 MM</t>
  </si>
  <si>
    <t>Subida  R -190 (progresiva 00+500 -00+545.33)</t>
  </si>
  <si>
    <t>Subida CR -12 (prog 01+140 - 01+185.22)</t>
  </si>
  <si>
    <t>Subida  CR -155 (Prog 00+000.00 - 00+040)</t>
  </si>
  <si>
    <t>Subida CR -156 (prog 01+195.88 - 01+234.27)</t>
  </si>
  <si>
    <t>Subida a R-190 ( 0+956.16  - 0+965.74)</t>
  </si>
  <si>
    <t>01.02.06.03.05</t>
  </si>
  <si>
    <t>01.02.06.03.06</t>
  </si>
  <si>
    <t>01.02.06.03.07</t>
  </si>
  <si>
    <t>01.02.06.03.08</t>
  </si>
  <si>
    <t>01.02.06.03.09</t>
  </si>
  <si>
    <t>01.02.06.03.10</t>
  </si>
  <si>
    <t>01.02.06.03.11</t>
  </si>
  <si>
    <t>01.02.06.03.12</t>
  </si>
  <si>
    <t>01.02.06.03.13</t>
  </si>
  <si>
    <t>01.02.06.03.14</t>
  </si>
  <si>
    <t>01.02.06.03.15</t>
  </si>
  <si>
    <t>01.02.06.03.16</t>
  </si>
  <si>
    <t>ANCLAJE DE TUBERÍA DN 100 MM</t>
  </si>
  <si>
    <t>OBRAS CIVILES EN LÍNEA DE INGRESO</t>
  </si>
  <si>
    <t>INSTALACIONES HIDRÁULICAS EN LÍNEA DE INGRESO</t>
  </si>
  <si>
    <t>METRADO DE INTERFERENCIAS</t>
  </si>
  <si>
    <t>PROTECCIÓN DE REDES</t>
  </si>
  <si>
    <t>PROTECCIÓN DE CONEXIONES</t>
  </si>
  <si>
    <t xml:space="preserve">PROTECCIÓN DE CABLES </t>
  </si>
  <si>
    <t>BT</t>
  </si>
  <si>
    <t>MT</t>
  </si>
  <si>
    <t>AT</t>
  </si>
  <si>
    <t>TEL.</t>
  </si>
  <si>
    <t>PROTECCIÓN POSTES</t>
  </si>
  <si>
    <t>PROTECCIÓN DE ÁREAS VERDES</t>
  </si>
  <si>
    <t>ÁRBOLES</t>
  </si>
  <si>
    <t>PL-01A</t>
  </si>
  <si>
    <t>PL-01B</t>
  </si>
  <si>
    <t>CLAVE</t>
  </si>
  <si>
    <t>RED</t>
  </si>
  <si>
    <t>CONEX.</t>
  </si>
  <si>
    <t>CABLE</t>
  </si>
  <si>
    <t>POSTE</t>
  </si>
  <si>
    <t>AC</t>
  </si>
  <si>
    <t>TUBERÍA DE AGUA</t>
  </si>
  <si>
    <t>TUBERÍA DE IMPULSIÓN</t>
  </si>
  <si>
    <t>TUBERÍA DE AGUA EXISTENTE</t>
  </si>
  <si>
    <t>PVC</t>
  </si>
  <si>
    <t>TUBERÍA DE ALCANTARILLADO</t>
  </si>
  <si>
    <t>CSN</t>
  </si>
  <si>
    <t>RED TELÉFONO</t>
  </si>
  <si>
    <t>RED ELÉCTRICA</t>
  </si>
  <si>
    <t>TUBERÍA DE REBOSE</t>
  </si>
  <si>
    <t>TUBERÍA DE CONDUCCIÓN</t>
  </si>
  <si>
    <t>PT</t>
  </si>
  <si>
    <t>PL</t>
  </si>
  <si>
    <t>PBT</t>
  </si>
  <si>
    <t>PMT</t>
  </si>
  <si>
    <t>PAT</t>
  </si>
  <si>
    <t>POSTE DE TELÉFONO</t>
  </si>
  <si>
    <t>POSTE DE ALUMBRADO</t>
  </si>
  <si>
    <t>CONEX. AGUA POTABLE</t>
  </si>
  <si>
    <t>CONEX. ALCANTARILLADO</t>
  </si>
  <si>
    <t>A.P.</t>
  </si>
  <si>
    <t>ALC.</t>
  </si>
  <si>
    <t>PL-02</t>
  </si>
  <si>
    <t>PL-03</t>
  </si>
  <si>
    <t>PL-04</t>
  </si>
  <si>
    <t>PL-05</t>
  </si>
  <si>
    <t>POSTE MEDIA TENSION</t>
  </si>
  <si>
    <t>FRENTE 05</t>
  </si>
  <si>
    <t>OBRAS PROVISIONALES, TRABAJOS PRELIMINARES, SEGURIDAD Y SALUD</t>
  </si>
  <si>
    <t>SEGURIDAD Y SALUD OCUPACIONAL FRENTE 01</t>
  </si>
  <si>
    <t>LINEA DE IMPULSIÓN FRENTE - 01</t>
  </si>
  <si>
    <t>LETRERO METÁLICO 0,60 X 0,60 M S/POSTE P/DESVÍO TRÁNSITO (PROV.DURANTE OBRA)</t>
  </si>
  <si>
    <t>PUENTE DE MADERA PARA PASE PEATONAL SOBRE ZANJA S/D (PROV. DURANTE OBRA)</t>
  </si>
  <si>
    <t>PUENTE DE MADERA PARA PASE VEHICULAR SOBRE ZANJA S/D (PROV. DURANTE OBRA)</t>
  </si>
  <si>
    <t>CONO FIBRA VIDRIO FOSFORESCENTE P/DESVÍO DE TRÁNSITO S/D (PROV. DURANTE OBRA)</t>
  </si>
  <si>
    <t>TRANQUERA TIPO TIJERA DE 2,40 X 1,20 M PARA SEÑAL PELIGRO (PROV. DURANTE OBRA)</t>
  </si>
  <si>
    <t>01.02.01.15</t>
  </si>
  <si>
    <t>01.02.01.16</t>
  </si>
  <si>
    <t>01.02.01.17</t>
  </si>
  <si>
    <t>PROTECCION DE CABLE ELÉCTRICO DE MEDIA TENSIÓN</t>
  </si>
  <si>
    <t>01.02.01.18</t>
  </si>
  <si>
    <t>01.02.01.19</t>
  </si>
  <si>
    <t>ELIMIN. DESMONTE(CARG+V) T.ROCOSO D=20KM P/TUBO DN 300 - 350 DE 1,01 A 1,25 M</t>
  </si>
  <si>
    <t>TEE CON 3 ENCHUFES DE HO. DÚCTIL DN 350 X 300</t>
  </si>
  <si>
    <t>ANCLAJES DE CONCRETO FC=175KG/CM2 EN TUBERIA DN 300 MM</t>
  </si>
  <si>
    <t>ANCLAJES DE CONCRETO FC=175KG/CM2 EN TUBERIA DN 350 MM</t>
  </si>
  <si>
    <t>CISTERNA CR-11</t>
  </si>
  <si>
    <t>CORTE, RETIRO Y CIERRE DE TUBERÍA DE IMPULSIÓN EXISTENTE.</t>
  </si>
  <si>
    <t>TUBERÍA DE ACERO SHC-40 P/EQUIPAMIENTO DN 350 INCLUYE 1% DE DESPERDICIO</t>
  </si>
  <si>
    <t>CISTERNA CR-12</t>
  </si>
  <si>
    <t>RESERVORIO R-190</t>
  </si>
  <si>
    <t>CORTE Y RETIRO TUBERÍA DE IMPULSIÓN EXISTENTE.</t>
  </si>
  <si>
    <t>01.02.06.03.17</t>
  </si>
  <si>
    <t>VÁLVULA MARIPOSA BB DN 350 HO. DÚCTIL EXCÉNT,ASIENTO-EJE ACERO INOXIDABLE</t>
  </si>
  <si>
    <t>SUMINISTRO INSTALACIÓN HIDRÁULICA PARA VÁLVULA DE ALTITUD DN 300</t>
  </si>
  <si>
    <t>SEGURIDAD Y SALUD OCUPACIONAL FRENTE 02</t>
  </si>
  <si>
    <t>LINEA DE IMPULSIÓN FRENTE - 02</t>
  </si>
  <si>
    <t>ANCLAJES DE CONCRETO FC=175KG/CM2 EN TUBERIA DN 150 MM</t>
  </si>
  <si>
    <t>CISTERNA CR-155</t>
  </si>
  <si>
    <t>01.02.06.01.09</t>
  </si>
  <si>
    <t>01.02.06.01.10</t>
  </si>
  <si>
    <t>01.02.06.01.11</t>
  </si>
  <si>
    <t>01.02.06.01.12</t>
  </si>
  <si>
    <t>01.02.06.01.13</t>
  </si>
  <si>
    <t>01.02.06.01.14</t>
  </si>
  <si>
    <t>01.02.06.01.15</t>
  </si>
  <si>
    <t>01.02.06.01.16</t>
  </si>
  <si>
    <t>01.02.06.01.17</t>
  </si>
  <si>
    <t>01.02.06.01.18</t>
  </si>
  <si>
    <t>01.02.06.01.19</t>
  </si>
  <si>
    <t>CISTERNA CR-156</t>
  </si>
  <si>
    <t>SEGURIDAD Y SALUD OCUPACIONAL FRENTE 03</t>
  </si>
  <si>
    <t>LINEA DE IMPULSIÓN FRENTE - 03</t>
  </si>
  <si>
    <t>CISTERNA CR-138</t>
  </si>
  <si>
    <t>01.02.06.01.01.06</t>
  </si>
  <si>
    <t>01.02.06.01.01.07</t>
  </si>
  <si>
    <t>01.02.06.01.01.08</t>
  </si>
  <si>
    <t>01.02.06.01.01.09</t>
  </si>
  <si>
    <t>01.02.06.01.01.10</t>
  </si>
  <si>
    <t>INSTALACIONES HIDRÁULICAS EN CÁMARA EXISTENTE</t>
  </si>
  <si>
    <t>01.02.06.01.03.08</t>
  </si>
  <si>
    <t>01.02.06.01.03.09</t>
  </si>
  <si>
    <t>RESERVORIO R-194</t>
  </si>
  <si>
    <t>01.02.06.02.10</t>
  </si>
  <si>
    <t>01.02.06.02.11</t>
  </si>
  <si>
    <t>SEGURIDAD Y SALUD OCUPACIONAL FRENTE 04</t>
  </si>
  <si>
    <t>LINEA DE IMPULSIÓN FRENTE - 04</t>
  </si>
  <si>
    <t>ANCLAJES DE CONCRETO FC=175KG/CM2 EN TUBERIA DN 100 MM</t>
  </si>
  <si>
    <t>CISTERNA CRR-156</t>
  </si>
  <si>
    <t>TRANSICIÓN BRIDA-CAMPANA DE HO. DUCTIL PN 16 DN 100 MM</t>
  </si>
  <si>
    <t>DERIVACIÓN (0+585.79)</t>
  </si>
  <si>
    <t>01.02.06.02.01.06</t>
  </si>
  <si>
    <t>01.02.06.02.01.07</t>
  </si>
  <si>
    <t>01.02.06.02.01.08</t>
  </si>
  <si>
    <t>01.02.06.02.01.09</t>
  </si>
  <si>
    <t>01.02.06.02.01.10</t>
  </si>
  <si>
    <t>INSTALACIÓN HIDRÁULICAS</t>
  </si>
  <si>
    <t>01.02.06.02.02.10</t>
  </si>
  <si>
    <t>01.02.06.02.02.11</t>
  </si>
  <si>
    <t>01.02.06.02.02.12</t>
  </si>
  <si>
    <t>RESERVORIO RP-04</t>
  </si>
  <si>
    <t>TUBERÍA DE ACERO SHC-40 P/EQUIPAMIENTO DN 100 INCLUYE 1% DE DESPERDICIO</t>
  </si>
  <si>
    <t>SEGURIDAD Y SALUD OCUPACIONAL FRENTE 05</t>
  </si>
  <si>
    <t>LINEA DE IMPULSIÓN - FRENTE 05</t>
  </si>
  <si>
    <t>TUBERÍA DE HIERRO DÚCTIL K-9 DN 250 INCLUYE ANILLO + 1% DE DESPERDICIO</t>
  </si>
  <si>
    <t>INGERSO A CÁMARA CVA-05</t>
  </si>
  <si>
    <t>01.02.06.02.12</t>
  </si>
  <si>
    <t>DERIVACIÓN (1+546.58)</t>
  </si>
  <si>
    <t>01.02.06.03.01.06</t>
  </si>
  <si>
    <t>01.02.06.03.01.07</t>
  </si>
  <si>
    <t>01.02.06.03.01.08</t>
  </si>
  <si>
    <t>01.02.06.03.01.09</t>
  </si>
  <si>
    <t>01.02.06.03.01.10</t>
  </si>
  <si>
    <t>DERIVACIÓN (1+676.02)</t>
  </si>
  <si>
    <t>01.02.06.04.01.06</t>
  </si>
  <si>
    <t>01.02.06.04.01.07</t>
  </si>
  <si>
    <t>01.02.06.04.01.08</t>
  </si>
  <si>
    <t>01.02.06.04.01.09</t>
  </si>
  <si>
    <t>01.02.06.04.02.05</t>
  </si>
  <si>
    <t>01.02.06.04.02.06</t>
  </si>
  <si>
    <t>01.02.06.04.02.07</t>
  </si>
  <si>
    <t>01.02.06.04.02.08</t>
  </si>
  <si>
    <t>01.02.06.04.02.09</t>
  </si>
  <si>
    <t>01.02.06.04.02.10</t>
  </si>
  <si>
    <t>01.02.06.04.02.11</t>
  </si>
  <si>
    <t>01.02.06.04.02.12</t>
  </si>
  <si>
    <t>01.02.06.04.02.13</t>
  </si>
  <si>
    <t>01.02.06.04.02.14</t>
  </si>
  <si>
    <t>DERIVACIÓN (2+569.54)</t>
  </si>
  <si>
    <t>01.02.06.05.01.06</t>
  </si>
  <si>
    <t>01.02.06.05.01.07</t>
  </si>
  <si>
    <t>01.02.06.05.01.08</t>
  </si>
  <si>
    <t>01.02.06.05.01.09</t>
  </si>
  <si>
    <t>01.02.06.05.01.10</t>
  </si>
  <si>
    <t>CORTEY RETIRO DE TUBERÍA DE IMPULSIÓN EXISTENTE.</t>
  </si>
  <si>
    <t>01.02.06.05.02.05</t>
  </si>
  <si>
    <t>01.02.06.05.02.06</t>
  </si>
  <si>
    <t>01.02.06.05.02.07</t>
  </si>
  <si>
    <t>01.02.06.05.02.08</t>
  </si>
  <si>
    <t>01.02.06.05.02.09</t>
  </si>
  <si>
    <t>01.02.06.05.02.10</t>
  </si>
  <si>
    <t>01.02.06.05.02.11</t>
  </si>
  <si>
    <t>01.02.06.05.02.12</t>
  </si>
  <si>
    <t>01.02.06.05.02.13</t>
  </si>
  <si>
    <t>01.02.06.05.02.14</t>
  </si>
  <si>
    <t>01.02.06.05.02.15</t>
  </si>
  <si>
    <t>01.02.06.05.02.16</t>
  </si>
  <si>
    <t>01.02.06.05.02.17</t>
  </si>
  <si>
    <t>01.02.06.05.02.18</t>
  </si>
  <si>
    <t>RESERVORIO R-183</t>
  </si>
  <si>
    <t>01.02.06.06.03</t>
  </si>
  <si>
    <t>01.02.06.06.04</t>
  </si>
  <si>
    <t>01.02.06.06.05</t>
  </si>
  <si>
    <t>01.02.06.06.06</t>
  </si>
  <si>
    <t>01.02.06.06.07</t>
  </si>
  <si>
    <t>01.02.06.06.08</t>
  </si>
  <si>
    <t>01.02.06.06.09</t>
  </si>
  <si>
    <t>01.02.06.06.10</t>
  </si>
  <si>
    <t>01.02.06.06.11</t>
  </si>
  <si>
    <t>01.02.06.06.12</t>
  </si>
  <si>
    <t>TRANSPORTE A ZONA S/ACCESO:MAT. P/RELLENO, TUB, Y ACCESOR, P/LÍNEA DN 300 - 350 T-ROCOSO</t>
  </si>
  <si>
    <t>EXCAVAC. ZANJA (MÁQ.) P/TUB. TERR-NORMAL DN 300 - 350 DE 1,01 M A 1,25 M PROF.</t>
  </si>
  <si>
    <t>EXCAVAC. ZANJA (MÁQ.) P/TUB. TERR-NORMAL DN 300 - 350 DE 2,51 M A 3,00 M PROF.</t>
  </si>
  <si>
    <t>SUMINISTRO INSTALACIÓN HIDRÁULICA PARA VÁLVULA DE CIERRE DN 300 INCL VALV AIRE DN 100MM (TIPO 1)</t>
  </si>
  <si>
    <t>SUMINISTRO INSTALACIÓN HIDRÁULICA PARA VÁLVULA DE CIERRE DN 350 INCL VALV AIRE DN 100 (TIPO 2)</t>
  </si>
  <si>
    <t>CORTE+ROTURA, ED Y REPOSICIÓN DE ESCALERA DE CONCRETO F'C 175 KG/CM2 PARA GRADAS (C-V)</t>
  </si>
  <si>
    <t>CAMBIO DE LINEA DE ADUCCION EN PASAJE - POR PROCESO CONSTRUCTIVO</t>
  </si>
  <si>
    <t>BUZÓN I TERRENO ROCOSO SIN EXPLOSIVO DE 1,26 A 1,50 M PROF. (ENCOFRADO INTERIOR)</t>
  </si>
  <si>
    <t>01.02.12.15</t>
  </si>
  <si>
    <t>LIMPIEZA Y ACONDICIOMIENTO DEL TERRENO</t>
  </si>
  <si>
    <t>Conc. En Tub.</t>
  </si>
  <si>
    <t>Tarrajeo c/impermeabilizante</t>
  </si>
  <si>
    <t>ENTIBADO METÁLICO TIPO CAJÓN (BOX), DE ZANJAS DE 1.51 A 1.75 M DE PROF. (INCL. INSTALACIÓN, MANTENIMIENTO Y RETIRO)</t>
  </si>
  <si>
    <t>ENTIBADO METÁLICO TIPO CAJÓN (BOX), DE ZANJAS DE 1.76 A 2.00 M DE PROF. (INCL. INSTALACIÓN, MANTENIMIENTO Y RETIRO)</t>
  </si>
  <si>
    <t>ACARREO / PROF.</t>
  </si>
  <si>
    <t>DN 150</t>
  </si>
  <si>
    <t>DN 100 - 150</t>
  </si>
  <si>
    <t>01.01.07</t>
  </si>
  <si>
    <t>01.01.08</t>
  </si>
  <si>
    <t>ELABORACIÓN, IMPLEMENTACIÓN Y EJECUCIÓN DEL PLAN DE MONITOREO E IMPACTO AMBIENTAL FRENTE 04</t>
  </si>
  <si>
    <t>ELABORACIÓN, IMPLEMENTACIÓN Y EJECUCIÓN DEL PLAN DE ESTUDIO Y DESVÍO DE TRÁNSITO  FRENTE 04</t>
  </si>
  <si>
    <t>ACARREO DE DESMONTE (PULSO) T. ROCOSO EN ZONA ALEDAÑA DN 100 - 150 MM DE 1.01 M A 1.25 M DE PROF.</t>
  </si>
  <si>
    <t>ACARREO DE DESMONTE (PULSO) T. ROCOSO EN ZONA ALEDAÑA DN 100 - 150 MM DE 1.26 M A 1.50 M DE PROF.</t>
  </si>
  <si>
    <t>ACARREO DE DESMONTE (PULSO) T. ROCOSO EN ZONA ALEDAÑA DN 100 - 150 MM DE 1.76 M A 2.00 M DE PROF.</t>
  </si>
  <si>
    <t>ACARREO DE DESMONTE (PULSO) T. ROCOSO EN ZONA ALEDAÑA DN 100 - 150 MM DE 2.01 M A 2.50 M DE PROF.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</si>
</sst>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##,###,###,##0.00"/>
    <numFmt numFmtId="166" formatCode="0.000"/>
    <numFmt numFmtId="167" formatCode="0.00\‰\ "/>
    <numFmt numFmtId="168" formatCode="###,###,###,##0"/>
    <numFmt numFmtId="169" formatCode="00"/>
  </numFmts>
  <fonts count="57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28"/>
      <name val="Arial"/>
      <family val="2"/>
    </font>
    <font>
      <sz val="8"/>
      <color indexed="7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7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FF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b/>
      <sz val="8"/>
      <color theme="1"/>
      <name val="Arial"/>
      <family val="2"/>
    </font>
    <font>
      <sz val="10"/>
      <name val="Arial "/>
    </font>
    <font>
      <b/>
      <sz val="10"/>
      <color indexed="8"/>
      <name val="Arial "/>
    </font>
    <font>
      <b/>
      <sz val="10"/>
      <name val="Arial "/>
    </font>
    <font>
      <b/>
      <sz val="10"/>
      <color theme="1"/>
      <name val="Arial "/>
    </font>
    <font>
      <sz val="9"/>
      <name val="Arial "/>
    </font>
    <font>
      <b/>
      <sz val="9"/>
      <color theme="1"/>
      <name val="Arial "/>
    </font>
    <font>
      <b/>
      <sz val="9"/>
      <name val="Arial "/>
    </font>
    <font>
      <sz val="9"/>
      <color rgb="FF222222"/>
      <name val="Arial "/>
    </font>
    <font>
      <sz val="9"/>
      <color rgb="FF0000FF"/>
      <name val="Arial "/>
    </font>
    <font>
      <b/>
      <sz val="8"/>
      <color indexed="10"/>
      <name val="Arial"/>
      <family val="2"/>
    </font>
    <font>
      <b/>
      <sz val="10"/>
      <color rgb="FF0000FF"/>
      <name val="Arial "/>
    </font>
    <font>
      <b/>
      <sz val="10"/>
      <color rgb="FFC00000"/>
      <name val="Arial "/>
    </font>
    <font>
      <i/>
      <sz val="10"/>
      <name val="Arial 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color indexed="21"/>
      <name val="Arial"/>
      <family val="2"/>
    </font>
    <font>
      <b/>
      <sz val="8"/>
      <color indexed="12"/>
      <name val="Arial"/>
      <family val="2"/>
    </font>
    <font>
      <sz val="8"/>
      <color indexed="72"/>
      <name val="Arial"/>
      <family val="2"/>
    </font>
    <font>
      <b/>
      <sz val="8"/>
      <color indexed="28"/>
      <name val="Arial"/>
      <family val="2"/>
    </font>
    <font>
      <b/>
      <sz val="8"/>
      <color indexed="10"/>
      <name val="Arial"/>
      <family val="2"/>
    </font>
    <font>
      <b/>
      <sz val="8"/>
      <color indexed="14"/>
      <name val="Arial"/>
      <family val="2"/>
    </font>
    <font>
      <b/>
      <sz val="8"/>
      <color indexed="11"/>
      <name val="Arial"/>
      <family val="2"/>
    </font>
    <font>
      <sz val="8"/>
      <color rgb="FF0000FF"/>
      <name val="Arial"/>
      <family val="2"/>
    </font>
    <font>
      <b/>
      <sz val="10"/>
      <color rgb="FF0000FF"/>
      <name val="Calibri"/>
      <family val="2"/>
      <scheme val="minor"/>
    </font>
    <font>
      <b/>
      <u/>
      <sz val="10"/>
      <color indexed="8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color rgb="FF0000FF"/>
      <name val="Arial"/>
      <family val="2"/>
    </font>
    <font>
      <sz val="8"/>
      <color theme="0"/>
      <name val="Arial"/>
      <family val="2"/>
    </font>
    <font>
      <i/>
      <sz val="8"/>
      <color indexed="72"/>
      <name val="Arial"/>
      <family val="2"/>
    </font>
    <font>
      <i/>
      <sz val="8"/>
      <name val="Arial "/>
    </font>
    <font>
      <b/>
      <sz val="8"/>
      <color indexed="14"/>
      <name val="Arial"/>
      <family val="2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80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165" fontId="2" fillId="0" borderId="0" xfId="1" applyNumberFormat="1" applyFont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165" fontId="0" fillId="0" borderId="0" xfId="0" applyNumberFormat="1"/>
    <xf numFmtId="49" fontId="5" fillId="0" borderId="19" xfId="0" applyNumberFormat="1" applyFont="1" applyFill="1" applyBorder="1" applyAlignment="1">
      <alignment vertical="center" wrapText="1"/>
    </xf>
    <xf numFmtId="49" fontId="5" fillId="0" borderId="2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8" xfId="3" applyFont="1" applyFill="1" applyBorder="1" applyAlignment="1">
      <alignment vertical="center"/>
    </xf>
    <xf numFmtId="0" fontId="10" fillId="0" borderId="9" xfId="3" applyFont="1" applyFill="1" applyBorder="1" applyAlignment="1">
      <alignment vertical="center"/>
    </xf>
    <xf numFmtId="0" fontId="10" fillId="0" borderId="2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left" vertical="center"/>
    </xf>
    <xf numFmtId="0" fontId="9" fillId="0" borderId="2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/>
    </xf>
    <xf numFmtId="0" fontId="2" fillId="0" borderId="29" xfId="1" applyNumberFormat="1" applyFont="1" applyFill="1" applyBorder="1" applyAlignment="1" applyProtection="1">
      <alignment vertical="center"/>
      <protection locked="0"/>
    </xf>
    <xf numFmtId="0" fontId="2" fillId="0" borderId="13" xfId="1" applyNumberFormat="1" applyFont="1" applyFill="1" applyBorder="1" applyAlignment="1" applyProtection="1">
      <alignment vertical="center"/>
      <protection locked="0"/>
    </xf>
    <xf numFmtId="0" fontId="2" fillId="0" borderId="13" xfId="1" applyNumberFormat="1" applyFont="1" applyFill="1" applyBorder="1" applyAlignment="1" applyProtection="1">
      <alignment horizontal="center" vertical="center"/>
      <protection locked="0"/>
    </xf>
    <xf numFmtId="165" fontId="2" fillId="0" borderId="30" xfId="1" applyNumberFormat="1" applyFont="1" applyFill="1" applyBorder="1" applyAlignment="1" applyProtection="1">
      <alignment horizontal="center" vertical="center"/>
      <protection locked="0"/>
    </xf>
    <xf numFmtId="0" fontId="3" fillId="0" borderId="31" xfId="1" applyNumberFormat="1" applyFont="1" applyFill="1" applyBorder="1" applyAlignment="1" applyProtection="1">
      <alignment vertical="center"/>
      <protection locked="0"/>
    </xf>
    <xf numFmtId="0" fontId="3" fillId="0" borderId="4" xfId="1" applyNumberFormat="1" applyFont="1" applyFill="1" applyBorder="1" applyAlignment="1" applyProtection="1">
      <alignment vertical="center"/>
      <protection locked="0"/>
    </xf>
    <xf numFmtId="0" fontId="3" fillId="0" borderId="4" xfId="1" applyNumberFormat="1" applyFont="1" applyFill="1" applyBorder="1" applyAlignment="1" applyProtection="1">
      <alignment horizontal="center" vertical="center"/>
      <protection locked="0"/>
    </xf>
    <xf numFmtId="165" fontId="3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31" xfId="1" applyNumberFormat="1" applyFont="1" applyFill="1" applyBorder="1" applyAlignment="1" applyProtection="1">
      <alignment vertical="center"/>
      <protection locked="0"/>
    </xf>
    <xf numFmtId="0" fontId="4" fillId="0" borderId="4" xfId="1" applyNumberFormat="1" applyFont="1" applyFill="1" applyBorder="1" applyAlignment="1" applyProtection="1">
      <alignment vertical="center"/>
      <protection locked="0"/>
    </xf>
    <xf numFmtId="0" fontId="4" fillId="0" borderId="4" xfId="1" applyNumberFormat="1" applyFont="1" applyFill="1" applyBorder="1" applyAlignment="1" applyProtection="1">
      <alignment horizontal="center" vertical="center"/>
      <protection locked="0"/>
    </xf>
    <xf numFmtId="165" fontId="4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NumberFormat="1" applyFont="1" applyFill="1" applyBorder="1" applyAlignment="1" applyProtection="1">
      <alignment vertical="center" wrapText="1"/>
      <protection locked="0"/>
    </xf>
    <xf numFmtId="0" fontId="2" fillId="0" borderId="31" xfId="1" applyNumberFormat="1" applyFont="1" applyFill="1" applyBorder="1" applyAlignment="1" applyProtection="1">
      <alignment horizontal="left" vertical="center"/>
      <protection locked="0"/>
    </xf>
    <xf numFmtId="0" fontId="2" fillId="0" borderId="4" xfId="1" applyNumberFormat="1" applyFont="1" applyFill="1" applyBorder="1" applyAlignment="1" applyProtection="1">
      <alignment vertical="center"/>
      <protection locked="0"/>
    </xf>
    <xf numFmtId="0" fontId="2" fillId="0" borderId="4" xfId="1" applyNumberFormat="1" applyFont="1" applyFill="1" applyBorder="1" applyAlignment="1" applyProtection="1">
      <alignment horizontal="center" vertical="center"/>
      <protection locked="0"/>
    </xf>
    <xf numFmtId="165" fontId="2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NumberFormat="1" applyFont="1" applyFill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vertical="center" wrapText="1"/>
      <protection locked="0"/>
    </xf>
    <xf numFmtId="0" fontId="4" fillId="0" borderId="11" xfId="1" applyNumberFormat="1" applyFont="1" applyFill="1" applyBorder="1" applyAlignment="1" applyProtection="1">
      <alignment horizontal="center" vertical="center"/>
      <protection locked="0"/>
    </xf>
    <xf numFmtId="165" fontId="4" fillId="0" borderId="33" xfId="1" applyNumberFormat="1" applyFont="1" applyFill="1" applyBorder="1" applyAlignment="1" applyProtection="1">
      <alignment horizontal="center" vertical="center"/>
      <protection locked="0"/>
    </xf>
    <xf numFmtId="0" fontId="6" fillId="0" borderId="34" xfId="2" applyNumberFormat="1" applyFont="1" applyFill="1" applyBorder="1" applyAlignment="1" applyProtection="1">
      <alignment horizontal="center" vertical="center"/>
      <protection locked="0"/>
    </xf>
    <xf numFmtId="0" fontId="6" fillId="0" borderId="3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35" xfId="2" applyNumberFormat="1" applyFont="1" applyFill="1" applyBorder="1" applyAlignment="1" applyProtection="1">
      <alignment horizontal="center" vertical="center"/>
      <protection locked="0"/>
    </xf>
    <xf numFmtId="165" fontId="7" fillId="0" borderId="36" xfId="2" applyNumberFormat="1" applyFont="1" applyFill="1" applyBorder="1" applyAlignment="1" applyProtection="1">
      <alignment horizontal="center" vertical="center"/>
      <protection locked="0"/>
    </xf>
    <xf numFmtId="2" fontId="10" fillId="0" borderId="8" xfId="3" applyNumberFormat="1" applyFont="1" applyFill="1" applyBorder="1" applyAlignment="1">
      <alignment horizontal="left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1" fontId="10" fillId="0" borderId="8" xfId="3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vertical="center" wrapText="1"/>
    </xf>
    <xf numFmtId="2" fontId="10" fillId="0" borderId="0" xfId="0" applyNumberFormat="1" applyFont="1" applyFill="1" applyBorder="1" applyAlignment="1">
      <alignment vertical="center"/>
    </xf>
    <xf numFmtId="2" fontId="10" fillId="0" borderId="8" xfId="3" applyNumberFormat="1" applyFont="1" applyFill="1" applyBorder="1" applyAlignment="1">
      <alignment vertical="center"/>
    </xf>
    <xf numFmtId="2" fontId="5" fillId="0" borderId="19" xfId="3" applyNumberFormat="1" applyFont="1" applyFill="1" applyBorder="1" applyAlignment="1">
      <alignment horizontal="left" vertical="center"/>
    </xf>
    <xf numFmtId="2" fontId="5" fillId="0" borderId="0" xfId="3" applyNumberFormat="1" applyFont="1" applyFill="1" applyBorder="1" applyAlignment="1">
      <alignment horizontal="left" vertical="center"/>
    </xf>
    <xf numFmtId="1" fontId="5" fillId="0" borderId="19" xfId="0" applyNumberFormat="1" applyFont="1" applyFill="1" applyBorder="1" applyAlignment="1">
      <alignment vertical="center" wrapText="1"/>
    </xf>
    <xf numFmtId="1" fontId="10" fillId="0" borderId="0" xfId="0" applyNumberFormat="1" applyFont="1" applyFill="1" applyBorder="1" applyAlignment="1">
      <alignment vertical="center"/>
    </xf>
    <xf numFmtId="1" fontId="10" fillId="0" borderId="8" xfId="3" applyNumberFormat="1" applyFont="1" applyFill="1" applyBorder="1" applyAlignment="1">
      <alignment vertical="center"/>
    </xf>
    <xf numFmtId="2" fontId="5" fillId="0" borderId="19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8" xfId="3" applyNumberFormat="1" applyFont="1" applyFill="1" applyBorder="1" applyAlignment="1">
      <alignment horizontal="center" vertical="center"/>
    </xf>
    <xf numFmtId="0" fontId="10" fillId="0" borderId="18" xfId="3" applyFont="1" applyFill="1" applyBorder="1" applyAlignment="1">
      <alignment horizontal="left" vertical="center"/>
    </xf>
    <xf numFmtId="4" fontId="10" fillId="0" borderId="5" xfId="3" applyNumberFormat="1" applyFont="1" applyFill="1" applyBorder="1" applyAlignment="1">
      <alignment horizontal="left" vertical="center"/>
    </xf>
    <xf numFmtId="4" fontId="10" fillId="0" borderId="7" xfId="3" applyNumberFormat="1" applyFont="1" applyFill="1" applyBorder="1" applyAlignment="1">
      <alignment horizontal="left" vertical="center"/>
    </xf>
    <xf numFmtId="0" fontId="16" fillId="0" borderId="0" xfId="3" applyFont="1" applyFill="1" applyAlignment="1">
      <alignment vertical="center"/>
    </xf>
    <xf numFmtId="166" fontId="16" fillId="0" borderId="0" xfId="3" applyNumberFormat="1" applyFont="1" applyFill="1" applyAlignment="1">
      <alignment vertical="center"/>
    </xf>
    <xf numFmtId="2" fontId="16" fillId="0" borderId="0" xfId="3" applyNumberFormat="1" applyFont="1" applyFill="1" applyAlignment="1">
      <alignment vertical="center"/>
    </xf>
    <xf numFmtId="0" fontId="16" fillId="0" borderId="0" xfId="3" applyFont="1" applyFill="1" applyAlignment="1">
      <alignment horizontal="center" vertical="center"/>
    </xf>
    <xf numFmtId="0" fontId="17" fillId="0" borderId="0" xfId="3" applyFont="1" applyFill="1" applyAlignment="1">
      <alignment vertical="center"/>
    </xf>
    <xf numFmtId="167" fontId="17" fillId="0" borderId="0" xfId="3" applyNumberFormat="1" applyFont="1" applyFill="1" applyAlignment="1">
      <alignment vertical="center"/>
    </xf>
    <xf numFmtId="0" fontId="17" fillId="0" borderId="0" xfId="3" applyFont="1" applyFill="1" applyBorder="1" applyAlignment="1">
      <alignment horizontal="left" vertical="center" wrapText="1"/>
    </xf>
    <xf numFmtId="2" fontId="17" fillId="0" borderId="0" xfId="3" applyNumberFormat="1" applyFont="1" applyFill="1" applyBorder="1" applyAlignment="1">
      <alignment horizontal="center" vertical="center" wrapText="1"/>
    </xf>
    <xf numFmtId="166" fontId="16" fillId="0" borderId="0" xfId="3" applyNumberFormat="1" applyFont="1" applyFill="1" applyBorder="1" applyAlignment="1">
      <alignment horizontal="center" vertical="center"/>
    </xf>
    <xf numFmtId="2" fontId="18" fillId="0" borderId="0" xfId="3" applyNumberFormat="1" applyFont="1" applyFill="1" applyAlignment="1">
      <alignment horizontal="center" vertical="center"/>
    </xf>
    <xf numFmtId="4" fontId="18" fillId="0" borderId="0" xfId="3" applyNumberFormat="1" applyFont="1" applyFill="1" applyBorder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167" fontId="16" fillId="0" borderId="0" xfId="3" applyNumberFormat="1" applyFont="1" applyFill="1" applyAlignment="1">
      <alignment horizontal="center" vertical="center"/>
    </xf>
    <xf numFmtId="166" fontId="16" fillId="0" borderId="0" xfId="3" applyNumberFormat="1" applyFont="1" applyFill="1" applyAlignment="1">
      <alignment horizontal="center" vertical="center"/>
    </xf>
    <xf numFmtId="0" fontId="20" fillId="0" borderId="0" xfId="3" applyFont="1" applyFill="1" applyAlignment="1">
      <alignment vertical="center"/>
    </xf>
    <xf numFmtId="0" fontId="20" fillId="0" borderId="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0" fontId="21" fillId="0" borderId="48" xfId="3" applyFont="1" applyFill="1" applyBorder="1" applyAlignment="1">
      <alignment horizontal="center" vertical="center" wrapText="1"/>
    </xf>
    <xf numFmtId="0" fontId="21" fillId="0" borderId="45" xfId="3" applyFont="1" applyFill="1" applyBorder="1" applyAlignment="1">
      <alignment horizontal="center" vertical="center" wrapText="1"/>
    </xf>
    <xf numFmtId="0" fontId="21" fillId="0" borderId="49" xfId="3" applyFont="1" applyFill="1" applyBorder="1" applyAlignment="1">
      <alignment horizontal="center" vertical="center" wrapText="1"/>
    </xf>
    <xf numFmtId="2" fontId="22" fillId="0" borderId="46" xfId="3" applyNumberFormat="1" applyFont="1" applyFill="1" applyBorder="1" applyAlignment="1">
      <alignment horizontal="center" vertical="center" wrapText="1"/>
    </xf>
    <xf numFmtId="2" fontId="22" fillId="0" borderId="44" xfId="3" applyNumberFormat="1" applyFont="1" applyFill="1" applyBorder="1" applyAlignment="1">
      <alignment horizontal="center" vertical="center" wrapText="1"/>
    </xf>
    <xf numFmtId="167" fontId="21" fillId="0" borderId="47" xfId="3" applyNumberFormat="1" applyFont="1" applyFill="1" applyBorder="1" applyAlignment="1">
      <alignment horizontal="center" vertical="center" wrapText="1"/>
    </xf>
    <xf numFmtId="2" fontId="22" fillId="0" borderId="48" xfId="3" applyNumberFormat="1" applyFont="1" applyFill="1" applyBorder="1" applyAlignment="1">
      <alignment horizontal="center" vertical="center" wrapText="1"/>
    </xf>
    <xf numFmtId="2" fontId="22" fillId="0" borderId="45" xfId="3" applyNumberFormat="1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2" fontId="21" fillId="0" borderId="46" xfId="3" applyNumberFormat="1" applyFont="1" applyFill="1" applyBorder="1" applyAlignment="1">
      <alignment horizontal="center" vertical="center" wrapText="1"/>
    </xf>
    <xf numFmtId="2" fontId="21" fillId="0" borderId="44" xfId="3" applyNumberFormat="1" applyFont="1" applyFill="1" applyBorder="1" applyAlignment="1">
      <alignment horizontal="center" vertical="center" wrapText="1"/>
    </xf>
    <xf numFmtId="2" fontId="21" fillId="0" borderId="47" xfId="3" applyNumberFormat="1" applyFont="1" applyFill="1" applyBorder="1" applyAlignment="1">
      <alignment horizontal="center" vertical="center" wrapText="1"/>
    </xf>
    <xf numFmtId="2" fontId="21" fillId="0" borderId="49" xfId="3" applyNumberFormat="1" applyFont="1" applyFill="1" applyBorder="1" applyAlignment="1">
      <alignment horizontal="center" vertical="center" wrapText="1"/>
    </xf>
    <xf numFmtId="0" fontId="20" fillId="0" borderId="14" xfId="3" applyFont="1" applyFill="1" applyBorder="1" applyAlignment="1">
      <alignment vertical="center"/>
    </xf>
    <xf numFmtId="0" fontId="20" fillId="0" borderId="51" xfId="3" applyFont="1" applyFill="1" applyBorder="1" applyAlignment="1">
      <alignment horizontal="center" vertical="center"/>
    </xf>
    <xf numFmtId="0" fontId="20" fillId="0" borderId="43" xfId="3" applyFont="1" applyFill="1" applyBorder="1" applyAlignment="1">
      <alignment horizontal="center" vertical="center"/>
    </xf>
    <xf numFmtId="0" fontId="21" fillId="0" borderId="43" xfId="3" applyFont="1" applyFill="1" applyBorder="1" applyAlignment="1">
      <alignment horizontal="center" vertical="center" wrapText="1"/>
    </xf>
    <xf numFmtId="0" fontId="21" fillId="0" borderId="50" xfId="3" applyFont="1" applyFill="1" applyBorder="1" applyAlignment="1">
      <alignment horizontal="center" vertical="center" wrapText="1"/>
    </xf>
    <xf numFmtId="0" fontId="21" fillId="0" borderId="51" xfId="3" applyFont="1" applyFill="1" applyBorder="1" applyAlignment="1">
      <alignment horizontal="center" vertical="center" wrapText="1"/>
    </xf>
    <xf numFmtId="2" fontId="22" fillId="0" borderId="51" xfId="3" applyNumberFormat="1" applyFont="1" applyFill="1" applyBorder="1" applyAlignment="1">
      <alignment horizontal="center" vertical="center" wrapText="1"/>
    </xf>
    <xf numFmtId="2" fontId="22" fillId="0" borderId="43" xfId="3" applyNumberFormat="1" applyFont="1" applyFill="1" applyBorder="1" applyAlignment="1">
      <alignment horizontal="center" vertical="center" wrapText="1"/>
    </xf>
    <xf numFmtId="167" fontId="21" fillId="0" borderId="50" xfId="3" applyNumberFormat="1" applyFont="1" applyFill="1" applyBorder="1" applyAlignment="1">
      <alignment horizontal="center" vertical="center" wrapText="1"/>
    </xf>
    <xf numFmtId="166" fontId="21" fillId="0" borderId="50" xfId="3" applyNumberFormat="1" applyFont="1" applyFill="1" applyBorder="1" applyAlignment="1">
      <alignment horizontal="center" vertical="center" wrapText="1"/>
    </xf>
    <xf numFmtId="166" fontId="21" fillId="0" borderId="51" xfId="3" applyNumberFormat="1" applyFont="1" applyFill="1" applyBorder="1" applyAlignment="1">
      <alignment horizontal="center" vertical="center" wrapText="1"/>
    </xf>
    <xf numFmtId="2" fontId="21" fillId="0" borderId="51" xfId="3" applyNumberFormat="1" applyFont="1" applyFill="1" applyBorder="1" applyAlignment="1">
      <alignment horizontal="center" vertical="center" wrapText="1"/>
    </xf>
    <xf numFmtId="2" fontId="21" fillId="0" borderId="43" xfId="3" applyNumberFormat="1" applyFont="1" applyFill="1" applyBorder="1" applyAlignment="1">
      <alignment horizontal="center" vertical="center" wrapText="1"/>
    </xf>
    <xf numFmtId="0" fontId="21" fillId="0" borderId="43" xfId="3" applyFont="1" applyFill="1" applyBorder="1" applyAlignment="1">
      <alignment horizontal="center" vertical="center"/>
    </xf>
    <xf numFmtId="0" fontId="21" fillId="0" borderId="38" xfId="3" applyFont="1" applyFill="1" applyBorder="1" applyAlignment="1">
      <alignment horizontal="center" vertical="center"/>
    </xf>
    <xf numFmtId="2" fontId="21" fillId="0" borderId="0" xfId="3" applyNumberFormat="1" applyFont="1" applyFill="1" applyBorder="1" applyAlignment="1">
      <alignment horizontal="center" vertical="center" wrapText="1"/>
    </xf>
    <xf numFmtId="0" fontId="24" fillId="0" borderId="46" xfId="3" applyFont="1" applyFill="1" applyBorder="1" applyAlignment="1">
      <alignment horizontal="center" vertical="center"/>
    </xf>
    <xf numFmtId="0" fontId="24" fillId="0" borderId="44" xfId="3" applyFont="1" applyFill="1" applyBorder="1" applyAlignment="1">
      <alignment horizontal="center" vertical="center"/>
    </xf>
    <xf numFmtId="0" fontId="24" fillId="0" borderId="47" xfId="3" applyFont="1" applyFill="1" applyBorder="1" applyAlignment="1">
      <alignment horizontal="center" vertical="center"/>
    </xf>
    <xf numFmtId="2" fontId="24" fillId="0" borderId="47" xfId="3" applyNumberFormat="1" applyFont="1" applyFill="1" applyBorder="1" applyAlignment="1">
      <alignment horizontal="center" vertical="center"/>
    </xf>
    <xf numFmtId="2" fontId="20" fillId="0" borderId="46" xfId="3" applyNumberFormat="1" applyFont="1" applyFill="1" applyBorder="1" applyAlignment="1">
      <alignment horizontal="center" vertical="center"/>
    </xf>
    <xf numFmtId="2" fontId="20" fillId="0" borderId="44" xfId="3" applyNumberFormat="1" applyFont="1" applyFill="1" applyBorder="1" applyAlignment="1">
      <alignment horizontal="center" vertical="center"/>
    </xf>
    <xf numFmtId="166" fontId="24" fillId="0" borderId="46" xfId="3" applyNumberFormat="1" applyFont="1" applyFill="1" applyBorder="1" applyAlignment="1">
      <alignment horizontal="center" vertical="center"/>
    </xf>
    <xf numFmtId="166" fontId="24" fillId="0" borderId="47" xfId="3" applyNumberFormat="1" applyFont="1" applyFill="1" applyBorder="1" applyAlignment="1">
      <alignment horizontal="center" vertical="center"/>
    </xf>
    <xf numFmtId="4" fontId="20" fillId="0" borderId="44" xfId="3" applyNumberFormat="1" applyFont="1" applyFill="1" applyBorder="1" applyAlignment="1">
      <alignment horizontal="center" vertical="center"/>
    </xf>
    <xf numFmtId="4" fontId="20" fillId="0" borderId="40" xfId="3" applyNumberFormat="1" applyFont="1" applyFill="1" applyBorder="1" applyAlignment="1">
      <alignment horizontal="center" vertical="center"/>
    </xf>
    <xf numFmtId="4" fontId="20" fillId="0" borderId="0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vertical="center"/>
    </xf>
    <xf numFmtId="2" fontId="20" fillId="0" borderId="0" xfId="3" applyNumberFormat="1" applyFont="1" applyFill="1" applyBorder="1" applyAlignment="1">
      <alignment horizontal="center" vertical="center"/>
    </xf>
    <xf numFmtId="166" fontId="20" fillId="0" borderId="46" xfId="3" applyNumberFormat="1" applyFont="1" applyFill="1" applyBorder="1" applyAlignment="1">
      <alignment horizontal="center" vertical="center"/>
    </xf>
    <xf numFmtId="49" fontId="20" fillId="0" borderId="16" xfId="3" applyNumberFormat="1" applyFont="1" applyFill="1" applyBorder="1" applyAlignment="1">
      <alignment horizontal="center" vertical="center" wrapText="1"/>
    </xf>
    <xf numFmtId="0" fontId="24" fillId="0" borderId="48" xfId="3" applyFont="1" applyFill="1" applyBorder="1" applyAlignment="1">
      <alignment horizontal="center" vertical="center"/>
    </xf>
    <xf numFmtId="0" fontId="24" fillId="0" borderId="45" xfId="3" applyFont="1" applyFill="1" applyBorder="1" applyAlignment="1">
      <alignment horizontal="center" vertical="center"/>
    </xf>
    <xf numFmtId="0" fontId="24" fillId="0" borderId="49" xfId="3" applyFont="1" applyFill="1" applyBorder="1" applyAlignment="1">
      <alignment horizontal="center" vertical="center"/>
    </xf>
    <xf numFmtId="2" fontId="20" fillId="0" borderId="48" xfId="3" applyNumberFormat="1" applyFont="1" applyFill="1" applyBorder="1" applyAlignment="1">
      <alignment horizontal="center" vertical="center"/>
    </xf>
    <xf numFmtId="2" fontId="24" fillId="0" borderId="49" xfId="3" applyNumberFormat="1" applyFont="1" applyFill="1" applyBorder="1" applyAlignment="1">
      <alignment horizontal="center" vertical="center"/>
    </xf>
    <xf numFmtId="2" fontId="20" fillId="0" borderId="45" xfId="3" applyNumberFormat="1" applyFont="1" applyFill="1" applyBorder="1" applyAlignment="1">
      <alignment horizontal="center" vertical="center"/>
    </xf>
    <xf numFmtId="167" fontId="20" fillId="0" borderId="49" xfId="3" applyNumberFormat="1" applyFont="1" applyFill="1" applyBorder="1" applyAlignment="1">
      <alignment horizontal="center" vertical="center"/>
    </xf>
    <xf numFmtId="166" fontId="24" fillId="0" borderId="49" xfId="3" applyNumberFormat="1" applyFont="1" applyFill="1" applyBorder="1" applyAlignment="1">
      <alignment horizontal="center" vertical="center"/>
    </xf>
    <xf numFmtId="166" fontId="20" fillId="0" borderId="48" xfId="3" applyNumberFormat="1" applyFont="1" applyFill="1" applyBorder="1" applyAlignment="1">
      <alignment horizontal="center" vertical="center"/>
    </xf>
    <xf numFmtId="4" fontId="20" fillId="0" borderId="45" xfId="3" applyNumberFormat="1" applyFont="1" applyFill="1" applyBorder="1" applyAlignment="1">
      <alignment horizontal="center" vertical="center"/>
    </xf>
    <xf numFmtId="4" fontId="20" fillId="0" borderId="42" xfId="3" applyNumberFormat="1" applyFont="1" applyFill="1" applyBorder="1" applyAlignment="1">
      <alignment horizontal="center" vertical="center"/>
    </xf>
    <xf numFmtId="2" fontId="21" fillId="2" borderId="44" xfId="3" applyNumberFormat="1" applyFont="1" applyFill="1" applyBorder="1" applyAlignment="1">
      <alignment horizontal="center" vertical="center" wrapText="1"/>
    </xf>
    <xf numFmtId="2" fontId="21" fillId="2" borderId="40" xfId="3" applyNumberFormat="1" applyFont="1" applyFill="1" applyBorder="1" applyAlignment="1">
      <alignment horizontal="center" vertical="center" wrapText="1"/>
    </xf>
    <xf numFmtId="2" fontId="21" fillId="2" borderId="45" xfId="3" applyNumberFormat="1" applyFont="1" applyFill="1" applyBorder="1" applyAlignment="1">
      <alignment horizontal="center" vertical="center" wrapText="1"/>
    </xf>
    <xf numFmtId="2" fontId="21" fillId="2" borderId="45" xfId="3" applyNumberFormat="1" applyFont="1" applyFill="1" applyBorder="1" applyAlignment="1">
      <alignment horizontal="center" vertical="center"/>
    </xf>
    <xf numFmtId="2" fontId="21" fillId="2" borderId="42" xfId="3" applyNumberFormat="1" applyFont="1" applyFill="1" applyBorder="1" applyAlignment="1">
      <alignment horizontal="center" vertical="center"/>
    </xf>
    <xf numFmtId="0" fontId="21" fillId="0" borderId="37" xfId="3" applyFont="1" applyFill="1" applyBorder="1" applyAlignment="1">
      <alignment horizontal="center" vertical="center"/>
    </xf>
    <xf numFmtId="4" fontId="20" fillId="0" borderId="39" xfId="3" applyNumberFormat="1" applyFont="1" applyFill="1" applyBorder="1" applyAlignment="1">
      <alignment horizontal="center" vertical="center"/>
    </xf>
    <xf numFmtId="4" fontId="20" fillId="0" borderId="41" xfId="3" applyNumberFormat="1" applyFont="1" applyFill="1" applyBorder="1" applyAlignment="1">
      <alignment horizontal="center" vertical="center"/>
    </xf>
    <xf numFmtId="0" fontId="22" fillId="3" borderId="41" xfId="3" applyFont="1" applyFill="1" applyBorder="1" applyAlignment="1">
      <alignment horizontal="center" vertical="center" wrapText="1"/>
    </xf>
    <xf numFmtId="0" fontId="22" fillId="3" borderId="42" xfId="3" applyFont="1" applyFill="1" applyBorder="1" applyAlignment="1">
      <alignment horizontal="center" vertical="center" wrapText="1"/>
    </xf>
    <xf numFmtId="2" fontId="18" fillId="0" borderId="0" xfId="3" applyNumberFormat="1" applyFont="1" applyFill="1" applyAlignment="1">
      <alignment vertical="center"/>
    </xf>
    <xf numFmtId="49" fontId="20" fillId="0" borderId="0" xfId="3" applyNumberFormat="1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/>
    </xf>
    <xf numFmtId="2" fontId="24" fillId="0" borderId="0" xfId="3" applyNumberFormat="1" applyFont="1" applyFill="1" applyBorder="1" applyAlignment="1">
      <alignment horizontal="center" vertical="center"/>
    </xf>
    <xf numFmtId="2" fontId="20" fillId="0" borderId="8" xfId="3" applyNumberFormat="1" applyFont="1" applyFill="1" applyBorder="1" applyAlignment="1">
      <alignment horizontal="center" vertical="center"/>
    </xf>
    <xf numFmtId="167" fontId="20" fillId="0" borderId="0" xfId="3" applyNumberFormat="1" applyFont="1" applyFill="1" applyBorder="1" applyAlignment="1">
      <alignment horizontal="center" vertical="center"/>
    </xf>
    <xf numFmtId="166" fontId="24" fillId="0" borderId="0" xfId="3" applyNumberFormat="1" applyFont="1" applyFill="1" applyBorder="1" applyAlignment="1">
      <alignment horizontal="center" vertical="center"/>
    </xf>
    <xf numFmtId="166" fontId="20" fillId="0" borderId="0" xfId="3" applyNumberFormat="1" applyFont="1" applyFill="1" applyBorder="1" applyAlignment="1">
      <alignment horizontal="center" vertical="center"/>
    </xf>
    <xf numFmtId="4" fontId="20" fillId="0" borderId="53" xfId="3" applyNumberFormat="1" applyFont="1" applyFill="1" applyBorder="1" applyAlignment="1">
      <alignment horizontal="center" vertical="center"/>
    </xf>
    <xf numFmtId="4" fontId="20" fillId="0" borderId="54" xfId="3" applyNumberFormat="1" applyFont="1" applyFill="1" applyBorder="1" applyAlignment="1">
      <alignment horizontal="center" vertical="center"/>
    </xf>
    <xf numFmtId="2" fontId="20" fillId="0" borderId="0" xfId="3" applyNumberFormat="1" applyFont="1" applyFill="1" applyBorder="1" applyAlignment="1">
      <alignment horizontal="left" vertical="center"/>
    </xf>
    <xf numFmtId="0" fontId="6" fillId="0" borderId="29" xfId="2" applyNumberFormat="1" applyFont="1" applyFill="1" applyBorder="1" applyAlignment="1" applyProtection="1">
      <alignment horizontal="center" vertical="center"/>
      <protection locked="0"/>
    </xf>
    <xf numFmtId="0" fontId="6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2" applyNumberFormat="1" applyFont="1" applyFill="1" applyBorder="1" applyAlignment="1" applyProtection="1">
      <alignment horizontal="center" vertical="center"/>
      <protection locked="0"/>
    </xf>
    <xf numFmtId="165" fontId="7" fillId="0" borderId="30" xfId="2" applyNumberFormat="1" applyFont="1" applyFill="1" applyBorder="1" applyAlignment="1" applyProtection="1">
      <alignment horizontal="center" vertical="center"/>
      <protection locked="0"/>
    </xf>
    <xf numFmtId="0" fontId="22" fillId="3" borderId="39" xfId="3" applyFont="1" applyFill="1" applyBorder="1" applyAlignment="1">
      <alignment horizontal="center" vertical="center" wrapText="1"/>
    </xf>
    <xf numFmtId="166" fontId="5" fillId="0" borderId="19" xfId="0" applyNumberFormat="1" applyFont="1" applyFill="1" applyBorder="1" applyAlignment="1">
      <alignment horizontal="center" vertical="center" wrapText="1"/>
    </xf>
    <xf numFmtId="166" fontId="11" fillId="0" borderId="19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166" fontId="10" fillId="0" borderId="8" xfId="3" applyNumberFormat="1" applyFont="1" applyFill="1" applyBorder="1" applyAlignment="1">
      <alignment horizontal="center" vertical="center"/>
    </xf>
    <xf numFmtId="166" fontId="17" fillId="0" borderId="0" xfId="3" applyNumberFormat="1" applyFont="1" applyFill="1" applyAlignment="1">
      <alignment vertical="center"/>
    </xf>
    <xf numFmtId="166" fontId="21" fillId="0" borderId="48" xfId="3" applyNumberFormat="1" applyFont="1" applyFill="1" applyBorder="1" applyAlignment="1">
      <alignment horizontal="center" vertical="center" wrapText="1"/>
    </xf>
    <xf numFmtId="166" fontId="21" fillId="0" borderId="49" xfId="3" applyNumberFormat="1" applyFont="1" applyFill="1" applyBorder="1" applyAlignment="1">
      <alignment horizontal="center" vertical="center" wrapText="1"/>
    </xf>
    <xf numFmtId="0" fontId="21" fillId="0" borderId="58" xfId="3" applyFont="1" applyFill="1" applyBorder="1" applyAlignment="1">
      <alignment horizontal="center" vertical="center"/>
    </xf>
    <xf numFmtId="4" fontId="20" fillId="0" borderId="57" xfId="3" applyNumberFormat="1" applyFont="1" applyFill="1" applyBorder="1" applyAlignment="1">
      <alignment horizontal="center" vertical="center"/>
    </xf>
    <xf numFmtId="166" fontId="17" fillId="0" borderId="0" xfId="3" applyNumberFormat="1" applyFont="1" applyFill="1" applyAlignment="1">
      <alignment horizontal="center" vertical="center"/>
    </xf>
    <xf numFmtId="2" fontId="24" fillId="0" borderId="46" xfId="3" quotePrefix="1" applyNumberFormat="1" applyFont="1" applyFill="1" applyBorder="1" applyAlignment="1">
      <alignment horizontal="center" vertical="center"/>
    </xf>
    <xf numFmtId="2" fontId="17" fillId="0" borderId="0" xfId="3" applyNumberFormat="1" applyFont="1" applyFill="1" applyAlignment="1">
      <alignment vertical="center"/>
    </xf>
    <xf numFmtId="2" fontId="21" fillId="0" borderId="48" xfId="3" applyNumberFormat="1" applyFont="1" applyFill="1" applyBorder="1" applyAlignment="1">
      <alignment horizontal="center" vertical="center" wrapText="1"/>
    </xf>
    <xf numFmtId="0" fontId="24" fillId="2" borderId="46" xfId="3" applyFont="1" applyFill="1" applyBorder="1" applyAlignment="1">
      <alignment horizontal="center" vertical="center"/>
    </xf>
    <xf numFmtId="0" fontId="24" fillId="2" borderId="44" xfId="3" applyFont="1" applyFill="1" applyBorder="1" applyAlignment="1">
      <alignment horizontal="center" vertical="center"/>
    </xf>
    <xf numFmtId="0" fontId="24" fillId="2" borderId="47" xfId="3" applyFont="1" applyFill="1" applyBorder="1" applyAlignment="1">
      <alignment horizontal="center" vertical="center"/>
    </xf>
    <xf numFmtId="2" fontId="20" fillId="2" borderId="46" xfId="3" applyNumberFormat="1" applyFont="1" applyFill="1" applyBorder="1" applyAlignment="1">
      <alignment horizontal="center" vertical="center"/>
    </xf>
    <xf numFmtId="2" fontId="24" fillId="2" borderId="47" xfId="3" applyNumberFormat="1" applyFont="1" applyFill="1" applyBorder="1" applyAlignment="1">
      <alignment horizontal="center" vertical="center"/>
    </xf>
    <xf numFmtId="2" fontId="20" fillId="2" borderId="44" xfId="3" applyNumberFormat="1" applyFont="1" applyFill="1" applyBorder="1" applyAlignment="1">
      <alignment horizontal="center" vertical="center"/>
    </xf>
    <xf numFmtId="167" fontId="20" fillId="2" borderId="47" xfId="3" applyNumberFormat="1" applyFont="1" applyFill="1" applyBorder="1" applyAlignment="1">
      <alignment horizontal="center" vertical="center"/>
    </xf>
    <xf numFmtId="166" fontId="20" fillId="2" borderId="46" xfId="3" applyNumberFormat="1" applyFont="1" applyFill="1" applyBorder="1" applyAlignment="1">
      <alignment horizontal="center" vertical="center"/>
    </xf>
    <xf numFmtId="166" fontId="24" fillId="2" borderId="47" xfId="3" applyNumberFormat="1" applyFont="1" applyFill="1" applyBorder="1" applyAlignment="1">
      <alignment horizontal="center" vertical="center"/>
    </xf>
    <xf numFmtId="4" fontId="22" fillId="2" borderId="39" xfId="3" applyNumberFormat="1" applyFont="1" applyFill="1" applyBorder="1" applyAlignment="1">
      <alignment horizontal="center" vertical="center"/>
    </xf>
    <xf numFmtId="2" fontId="21" fillId="0" borderId="66" xfId="3" applyNumberFormat="1" applyFont="1" applyFill="1" applyBorder="1" applyAlignment="1">
      <alignment horizontal="center" vertical="center" wrapText="1"/>
    </xf>
    <xf numFmtId="2" fontId="20" fillId="0" borderId="67" xfId="3" applyNumberFormat="1" applyFont="1" applyFill="1" applyBorder="1" applyAlignment="1">
      <alignment horizontal="center" vertical="center"/>
    </xf>
    <xf numFmtId="2" fontId="20" fillId="2" borderId="67" xfId="3" applyNumberFormat="1" applyFont="1" applyFill="1" applyBorder="1" applyAlignment="1">
      <alignment horizontal="center" vertical="center"/>
    </xf>
    <xf numFmtId="2" fontId="20" fillId="0" borderId="68" xfId="3" applyNumberFormat="1" applyFont="1" applyFill="1" applyBorder="1" applyAlignment="1">
      <alignment horizontal="center" vertical="center"/>
    </xf>
    <xf numFmtId="4" fontId="20" fillId="0" borderId="69" xfId="3" applyNumberFormat="1" applyFont="1" applyFill="1" applyBorder="1" applyAlignment="1">
      <alignment horizontal="center" vertical="center"/>
    </xf>
    <xf numFmtId="0" fontId="21" fillId="0" borderId="37" xfId="3" applyFont="1" applyFill="1" applyBorder="1" applyAlignment="1">
      <alignment horizontal="center" vertical="center" wrapText="1"/>
    </xf>
    <xf numFmtId="4" fontId="22" fillId="2" borderId="44" xfId="3" applyNumberFormat="1" applyFont="1" applyFill="1" applyBorder="1" applyAlignment="1">
      <alignment horizontal="center" vertical="center"/>
    </xf>
    <xf numFmtId="4" fontId="22" fillId="2" borderId="40" xfId="3" applyNumberFormat="1" applyFont="1" applyFill="1" applyBorder="1" applyAlignment="1">
      <alignment horizontal="center" vertical="center"/>
    </xf>
    <xf numFmtId="4" fontId="22" fillId="0" borderId="70" xfId="3" applyNumberFormat="1" applyFont="1" applyFill="1" applyBorder="1" applyAlignment="1">
      <alignment horizontal="center" vertical="center"/>
    </xf>
    <xf numFmtId="4" fontId="22" fillId="0" borderId="71" xfId="3" applyNumberFormat="1" applyFont="1" applyFill="1" applyBorder="1" applyAlignment="1">
      <alignment horizontal="center" vertical="center"/>
    </xf>
    <xf numFmtId="4" fontId="22" fillId="0" borderId="72" xfId="3" applyNumberFormat="1" applyFont="1" applyFill="1" applyBorder="1" applyAlignment="1">
      <alignment horizontal="center" vertical="center"/>
    </xf>
    <xf numFmtId="2" fontId="21" fillId="2" borderId="39" xfId="3" applyNumberFormat="1" applyFont="1" applyFill="1" applyBorder="1" applyAlignment="1">
      <alignment horizontal="center" vertical="center" wrapText="1"/>
    </xf>
    <xf numFmtId="2" fontId="21" fillId="2" borderId="41" xfId="3" applyNumberFormat="1" applyFont="1" applyFill="1" applyBorder="1" applyAlignment="1">
      <alignment horizontal="center" vertical="center" wrapText="1"/>
    </xf>
    <xf numFmtId="0" fontId="22" fillId="0" borderId="73" xfId="3" applyFont="1" applyFill="1" applyBorder="1" applyAlignment="1">
      <alignment horizontal="center" vertical="center"/>
    </xf>
    <xf numFmtId="0" fontId="22" fillId="0" borderId="65" xfId="3" applyFont="1" applyFill="1" applyBorder="1" applyAlignment="1">
      <alignment horizontal="center" vertical="center"/>
    </xf>
    <xf numFmtId="2" fontId="22" fillId="2" borderId="46" xfId="3" applyNumberFormat="1" applyFont="1" applyFill="1" applyBorder="1" applyAlignment="1">
      <alignment horizontal="center" vertical="center"/>
    </xf>
    <xf numFmtId="2" fontId="22" fillId="2" borderId="44" xfId="3" applyNumberFormat="1" applyFont="1" applyFill="1" applyBorder="1" applyAlignment="1">
      <alignment horizontal="center" vertical="center"/>
    </xf>
    <xf numFmtId="0" fontId="22" fillId="3" borderId="63" xfId="3" applyFont="1" applyFill="1" applyBorder="1" applyAlignment="1">
      <alignment horizontal="center" vertical="center" wrapText="1"/>
    </xf>
    <xf numFmtId="2" fontId="21" fillId="4" borderId="39" xfId="3" applyNumberFormat="1" applyFont="1" applyFill="1" applyBorder="1" applyAlignment="1">
      <alignment horizontal="center" vertical="center" wrapText="1"/>
    </xf>
    <xf numFmtId="2" fontId="21" fillId="4" borderId="44" xfId="3" applyNumberFormat="1" applyFont="1" applyFill="1" applyBorder="1" applyAlignment="1">
      <alignment horizontal="center" vertical="center" wrapText="1"/>
    </xf>
    <xf numFmtId="2" fontId="21" fillId="4" borderId="40" xfId="3" applyNumberFormat="1" applyFont="1" applyFill="1" applyBorder="1" applyAlignment="1">
      <alignment horizontal="center" vertical="center" wrapText="1"/>
    </xf>
    <xf numFmtId="2" fontId="21" fillId="4" borderId="41" xfId="3" applyNumberFormat="1" applyFont="1" applyFill="1" applyBorder="1" applyAlignment="1">
      <alignment horizontal="center" vertical="center" wrapText="1"/>
    </xf>
    <xf numFmtId="2" fontId="21" fillId="4" borderId="45" xfId="3" applyNumberFormat="1" applyFont="1" applyFill="1" applyBorder="1" applyAlignment="1">
      <alignment horizontal="center" vertical="center" wrapText="1"/>
    </xf>
    <xf numFmtId="2" fontId="21" fillId="4" borderId="45" xfId="3" applyNumberFormat="1" applyFont="1" applyFill="1" applyBorder="1" applyAlignment="1">
      <alignment horizontal="center" vertical="center"/>
    </xf>
    <xf numFmtId="2" fontId="21" fillId="4" borderId="42" xfId="3" applyNumberFormat="1" applyFont="1" applyFill="1" applyBorder="1" applyAlignment="1">
      <alignment horizontal="center" vertical="center"/>
    </xf>
    <xf numFmtId="2" fontId="21" fillId="5" borderId="46" xfId="3" applyNumberFormat="1" applyFont="1" applyFill="1" applyBorder="1" applyAlignment="1">
      <alignment horizontal="center" vertical="center" wrapText="1"/>
    </xf>
    <xf numFmtId="2" fontId="21" fillId="5" borderId="44" xfId="3" applyNumberFormat="1" applyFont="1" applyFill="1" applyBorder="1" applyAlignment="1">
      <alignment horizontal="center" vertical="center" wrapText="1"/>
    </xf>
    <xf numFmtId="2" fontId="21" fillId="5" borderId="40" xfId="3" applyNumberFormat="1" applyFont="1" applyFill="1" applyBorder="1" applyAlignment="1">
      <alignment horizontal="center" vertical="center" wrapText="1"/>
    </xf>
    <xf numFmtId="2" fontId="21" fillId="5" borderId="48" xfId="3" applyNumberFormat="1" applyFont="1" applyFill="1" applyBorder="1" applyAlignment="1">
      <alignment horizontal="center" vertical="center" wrapText="1"/>
    </xf>
    <xf numFmtId="2" fontId="21" fillId="5" borderId="45" xfId="3" applyNumberFormat="1" applyFont="1" applyFill="1" applyBorder="1" applyAlignment="1">
      <alignment horizontal="center" vertical="center" wrapText="1"/>
    </xf>
    <xf numFmtId="2" fontId="21" fillId="5" borderId="45" xfId="3" applyNumberFormat="1" applyFont="1" applyFill="1" applyBorder="1" applyAlignment="1">
      <alignment horizontal="center" vertical="center"/>
    </xf>
    <xf numFmtId="2" fontId="21" fillId="5" borderId="42" xfId="3" applyNumberFormat="1" applyFont="1" applyFill="1" applyBorder="1" applyAlignment="1">
      <alignment horizontal="center" vertical="center"/>
    </xf>
    <xf numFmtId="4" fontId="22" fillId="5" borderId="39" xfId="3" applyNumberFormat="1" applyFont="1" applyFill="1" applyBorder="1" applyAlignment="1">
      <alignment horizontal="center" vertical="center"/>
    </xf>
    <xf numFmtId="4" fontId="22" fillId="5" borderId="44" xfId="3" applyNumberFormat="1" applyFont="1" applyFill="1" applyBorder="1" applyAlignment="1">
      <alignment horizontal="center" vertical="center"/>
    </xf>
    <xf numFmtId="4" fontId="22" fillId="5" borderId="40" xfId="3" applyNumberFormat="1" applyFont="1" applyFill="1" applyBorder="1" applyAlignment="1">
      <alignment horizontal="center" vertical="center"/>
    </xf>
    <xf numFmtId="4" fontId="22" fillId="3" borderId="39" xfId="3" applyNumberFormat="1" applyFont="1" applyFill="1" applyBorder="1" applyAlignment="1">
      <alignment horizontal="center" vertical="center"/>
    </xf>
    <xf numFmtId="4" fontId="22" fillId="3" borderId="44" xfId="3" applyNumberFormat="1" applyFont="1" applyFill="1" applyBorder="1" applyAlignment="1">
      <alignment horizontal="center" vertical="center"/>
    </xf>
    <xf numFmtId="4" fontId="22" fillId="3" borderId="40" xfId="3" applyNumberFormat="1" applyFont="1" applyFill="1" applyBorder="1" applyAlignment="1">
      <alignment horizontal="center" vertical="center"/>
    </xf>
    <xf numFmtId="4" fontId="22" fillId="4" borderId="39" xfId="3" applyNumberFormat="1" applyFont="1" applyFill="1" applyBorder="1" applyAlignment="1">
      <alignment horizontal="center" vertical="center"/>
    </xf>
    <xf numFmtId="4" fontId="22" fillId="4" borderId="44" xfId="3" applyNumberFormat="1" applyFont="1" applyFill="1" applyBorder="1" applyAlignment="1">
      <alignment horizontal="center" vertical="center"/>
    </xf>
    <xf numFmtId="4" fontId="22" fillId="4" borderId="40" xfId="3" applyNumberFormat="1" applyFont="1" applyFill="1" applyBorder="1" applyAlignment="1">
      <alignment horizontal="center" vertical="center"/>
    </xf>
    <xf numFmtId="4" fontId="22" fillId="0" borderId="0" xfId="3" applyNumberFormat="1" applyFont="1" applyFill="1" applyBorder="1" applyAlignment="1">
      <alignment horizontal="center" vertical="center"/>
    </xf>
    <xf numFmtId="0" fontId="22" fillId="3" borderId="69" xfId="3" applyFont="1" applyFill="1" applyBorder="1" applyAlignment="1">
      <alignment horizontal="center" vertical="center" wrapText="1"/>
    </xf>
    <xf numFmtId="0" fontId="22" fillId="3" borderId="62" xfId="3" applyFont="1" applyFill="1" applyBorder="1" applyAlignment="1">
      <alignment horizontal="center" vertical="center" wrapText="1"/>
    </xf>
    <xf numFmtId="0" fontId="21" fillId="0" borderId="61" xfId="3" applyFont="1" applyFill="1" applyBorder="1" applyAlignment="1">
      <alignment horizontal="center" vertical="center"/>
    </xf>
    <xf numFmtId="4" fontId="20" fillId="0" borderId="62" xfId="3" applyNumberFormat="1" applyFont="1" applyFill="1" applyBorder="1" applyAlignment="1">
      <alignment horizontal="center" vertical="center"/>
    </xf>
    <xf numFmtId="4" fontId="20" fillId="0" borderId="76" xfId="3" applyNumberFormat="1" applyFont="1" applyFill="1" applyBorder="1" applyAlignment="1">
      <alignment horizontal="center" vertical="center"/>
    </xf>
    <xf numFmtId="0" fontId="21" fillId="0" borderId="77" xfId="3" applyFont="1" applyFill="1" applyBorder="1" applyAlignment="1">
      <alignment horizontal="center" vertical="center" wrapText="1"/>
    </xf>
    <xf numFmtId="0" fontId="21" fillId="0" borderId="57" xfId="3" applyFont="1" applyFill="1" applyBorder="1" applyAlignment="1">
      <alignment horizontal="center" vertical="center" wrapText="1"/>
    </xf>
    <xf numFmtId="0" fontId="21" fillId="0" borderId="58" xfId="3" applyFont="1" applyFill="1" applyBorder="1" applyAlignment="1">
      <alignment horizontal="center" vertical="center" wrapText="1"/>
    </xf>
    <xf numFmtId="0" fontId="24" fillId="0" borderId="77" xfId="3" applyFont="1" applyFill="1" applyBorder="1" applyAlignment="1">
      <alignment horizontal="center" vertical="center"/>
    </xf>
    <xf numFmtId="0" fontId="24" fillId="2" borderId="77" xfId="3" applyFont="1" applyFill="1" applyBorder="1" applyAlignment="1">
      <alignment horizontal="center" vertical="center"/>
    </xf>
    <xf numFmtId="0" fontId="24" fillId="0" borderId="57" xfId="3" applyFont="1" applyFill="1" applyBorder="1" applyAlignment="1">
      <alignment horizontal="center" vertical="center"/>
    </xf>
    <xf numFmtId="4" fontId="16" fillId="0" borderId="0" xfId="3" applyNumberFormat="1" applyFont="1" applyFill="1" applyAlignment="1">
      <alignment vertical="center"/>
    </xf>
    <xf numFmtId="0" fontId="22" fillId="5" borderId="62" xfId="3" applyFont="1" applyFill="1" applyBorder="1" applyAlignment="1">
      <alignment horizontal="center" vertical="center" wrapText="1"/>
    </xf>
    <xf numFmtId="0" fontId="22" fillId="6" borderId="58" xfId="3" applyFont="1" applyFill="1" applyBorder="1" applyAlignment="1">
      <alignment horizontal="center" vertical="center" wrapText="1"/>
    </xf>
    <xf numFmtId="0" fontId="22" fillId="6" borderId="69" xfId="3" applyFont="1" applyFill="1" applyBorder="1" applyAlignment="1">
      <alignment horizontal="center" vertical="center" wrapText="1"/>
    </xf>
    <xf numFmtId="0" fontId="22" fillId="6" borderId="62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/>
    </xf>
    <xf numFmtId="0" fontId="16" fillId="0" borderId="0" xfId="3" applyFont="1" applyFill="1" applyAlignment="1">
      <alignment horizontal="left" vertical="center"/>
    </xf>
    <xf numFmtId="0" fontId="18" fillId="0" borderId="0" xfId="3" applyFont="1" applyFill="1" applyAlignment="1">
      <alignment horizontal="left" vertical="center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0" fontId="22" fillId="3" borderId="40" xfId="3" applyFont="1" applyFill="1" applyBorder="1" applyAlignment="1">
      <alignment horizontal="center" vertical="center" wrapText="1"/>
    </xf>
    <xf numFmtId="0" fontId="22" fillId="3" borderId="58" xfId="3" applyFont="1" applyFill="1" applyBorder="1" applyAlignment="1">
      <alignment horizontal="center" vertical="center" wrapText="1"/>
    </xf>
    <xf numFmtId="0" fontId="22" fillId="3" borderId="64" xfId="3" applyFont="1" applyFill="1" applyBorder="1" applyAlignment="1">
      <alignment horizontal="center" vertical="center" wrapText="1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0" fontId="22" fillId="3" borderId="40" xfId="3" applyFont="1" applyFill="1" applyBorder="1" applyAlignment="1">
      <alignment horizontal="center" vertical="center" wrapText="1"/>
    </xf>
    <xf numFmtId="0" fontId="22" fillId="3" borderId="58" xfId="3" applyFont="1" applyFill="1" applyBorder="1" applyAlignment="1">
      <alignment horizontal="center" vertical="center" wrapText="1"/>
    </xf>
    <xf numFmtId="0" fontId="22" fillId="3" borderId="64" xfId="3" applyFont="1" applyFill="1" applyBorder="1" applyAlignment="1">
      <alignment horizontal="center" vertical="center" wrapText="1"/>
    </xf>
    <xf numFmtId="49" fontId="20" fillId="0" borderId="31" xfId="3" applyNumberFormat="1" applyFont="1" applyFill="1" applyBorder="1" applyAlignment="1">
      <alignment horizontal="center" vertical="center" wrapText="1"/>
    </xf>
    <xf numFmtId="4" fontId="22" fillId="0" borderId="74" xfId="3" applyNumberFormat="1" applyFont="1" applyFill="1" applyBorder="1" applyAlignment="1">
      <alignment horizontal="center" vertical="center"/>
    </xf>
    <xf numFmtId="4" fontId="22" fillId="0" borderId="3" xfId="3" applyNumberFormat="1" applyFont="1" applyFill="1" applyBorder="1" applyAlignment="1">
      <alignment horizontal="center" vertical="center"/>
    </xf>
    <xf numFmtId="4" fontId="22" fillId="0" borderId="75" xfId="3" applyNumberFormat="1" applyFont="1" applyFill="1" applyBorder="1" applyAlignment="1">
      <alignment horizontal="center" vertical="center"/>
    </xf>
    <xf numFmtId="2" fontId="24" fillId="0" borderId="44" xfId="3" applyNumberFormat="1" applyFont="1" applyFill="1" applyBorder="1" applyAlignment="1">
      <alignment horizontal="center" vertical="center"/>
    </xf>
    <xf numFmtId="2" fontId="20" fillId="0" borderId="47" xfId="3" applyNumberFormat="1" applyFont="1" applyFill="1" applyBorder="1" applyAlignment="1">
      <alignment horizontal="center" vertical="center"/>
    </xf>
    <xf numFmtId="0" fontId="22" fillId="5" borderId="67" xfId="3" applyFont="1" applyFill="1" applyBorder="1" applyAlignment="1">
      <alignment vertical="center" wrapText="1"/>
    </xf>
    <xf numFmtId="0" fontId="22" fillId="5" borderId="69" xfId="3" applyFont="1" applyFill="1" applyBorder="1" applyAlignment="1">
      <alignment vertical="center" wrapText="1"/>
    </xf>
    <xf numFmtId="2" fontId="24" fillId="0" borderId="46" xfId="3" applyNumberFormat="1" applyFont="1" applyFill="1" applyBorder="1" applyAlignment="1">
      <alignment horizontal="center" vertical="center"/>
    </xf>
    <xf numFmtId="2" fontId="20" fillId="0" borderId="46" xfId="3" quotePrefix="1" applyNumberFormat="1" applyFont="1" applyFill="1" applyBorder="1" applyAlignment="1">
      <alignment horizontal="center" vertical="center"/>
    </xf>
    <xf numFmtId="0" fontId="22" fillId="5" borderId="77" xfId="3" applyFont="1" applyFill="1" applyBorder="1" applyAlignment="1">
      <alignment vertical="center" wrapText="1"/>
    </xf>
    <xf numFmtId="0" fontId="18" fillId="0" borderId="0" xfId="3" applyFont="1" applyFill="1" applyAlignment="1">
      <alignment horizontal="center" vertical="center"/>
    </xf>
    <xf numFmtId="4" fontId="22" fillId="7" borderId="39" xfId="3" applyNumberFormat="1" applyFont="1" applyFill="1" applyBorder="1" applyAlignment="1">
      <alignment horizontal="center" vertical="center"/>
    </xf>
    <xf numFmtId="4" fontId="22" fillId="7" borderId="44" xfId="3" applyNumberFormat="1" applyFont="1" applyFill="1" applyBorder="1" applyAlignment="1">
      <alignment horizontal="center" vertical="center"/>
    </xf>
    <xf numFmtId="4" fontId="22" fillId="7" borderId="40" xfId="3" applyNumberFormat="1" applyFont="1" applyFill="1" applyBorder="1" applyAlignment="1">
      <alignment horizontal="center" vertical="center"/>
    </xf>
    <xf numFmtId="49" fontId="20" fillId="0" borderId="31" xfId="3" applyNumberFormat="1" applyFont="1" applyFill="1" applyBorder="1" applyAlignment="1">
      <alignment vertical="center" wrapText="1"/>
    </xf>
    <xf numFmtId="49" fontId="20" fillId="0" borderId="56" xfId="3" applyNumberFormat="1" applyFont="1" applyFill="1" applyBorder="1" applyAlignment="1">
      <alignment vertical="center" wrapText="1"/>
    </xf>
    <xf numFmtId="2" fontId="20" fillId="2" borderId="47" xfId="3" applyNumberFormat="1" applyFont="1" applyFill="1" applyBorder="1" applyAlignment="1">
      <alignment horizontal="center" vertical="center"/>
    </xf>
    <xf numFmtId="2" fontId="20" fillId="2" borderId="47" xfId="8" applyNumberFormat="1" applyFont="1" applyFill="1" applyBorder="1" applyAlignment="1">
      <alignment horizontal="center" vertical="center"/>
    </xf>
    <xf numFmtId="2" fontId="16" fillId="0" borderId="0" xfId="3" applyNumberFormat="1" applyFont="1" applyFill="1" applyBorder="1" applyAlignment="1">
      <alignment horizontal="center" vertical="center"/>
    </xf>
    <xf numFmtId="2" fontId="21" fillId="0" borderId="50" xfId="3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8" xfId="3" applyNumberFormat="1" applyFont="1" applyFill="1" applyBorder="1" applyAlignment="1">
      <alignment horizontal="center" vertical="center"/>
    </xf>
    <xf numFmtId="4" fontId="20" fillId="0" borderId="5" xfId="3" applyNumberFormat="1" applyFont="1" applyFill="1" applyBorder="1" applyAlignment="1">
      <alignment horizontal="center" vertical="center"/>
    </xf>
    <xf numFmtId="4" fontId="20" fillId="0" borderId="6" xfId="3" applyNumberFormat="1" applyFont="1" applyFill="1" applyBorder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2" fontId="26" fillId="0" borderId="0" xfId="3" applyNumberFormat="1" applyFont="1" applyFill="1" applyAlignment="1">
      <alignment horizontal="center" vertical="center"/>
    </xf>
    <xf numFmtId="0" fontId="27" fillId="0" borderId="0" xfId="3" applyFont="1" applyFill="1" applyAlignment="1">
      <alignment horizontal="left" vertical="center"/>
    </xf>
    <xf numFmtId="0" fontId="27" fillId="0" borderId="0" xfId="3" applyFont="1" applyFill="1" applyAlignment="1">
      <alignment horizontal="center" vertical="center"/>
    </xf>
    <xf numFmtId="2" fontId="27" fillId="0" borderId="0" xfId="3" applyNumberFormat="1" applyFont="1" applyFill="1" applyAlignment="1">
      <alignment horizontal="center" vertical="center"/>
    </xf>
    <xf numFmtId="167" fontId="27" fillId="0" borderId="0" xfId="3" applyNumberFormat="1" applyFont="1" applyFill="1" applyAlignment="1">
      <alignment horizontal="center" vertical="center"/>
    </xf>
    <xf numFmtId="0" fontId="27" fillId="0" borderId="0" xfId="3" applyFont="1" applyFill="1" applyAlignment="1">
      <alignment horizontal="center" vertical="center"/>
    </xf>
    <xf numFmtId="0" fontId="26" fillId="8" borderId="0" xfId="3" applyFont="1" applyFill="1" applyAlignment="1">
      <alignment horizontal="left" vertical="center"/>
    </xf>
    <xf numFmtId="0" fontId="26" fillId="0" borderId="0" xfId="3" applyFont="1" applyFill="1" applyAlignment="1">
      <alignment vertical="center"/>
    </xf>
    <xf numFmtId="0" fontId="26" fillId="8" borderId="0" xfId="3" applyFont="1" applyFill="1" applyAlignment="1">
      <alignment horizontal="center" vertical="center"/>
    </xf>
    <xf numFmtId="2" fontId="26" fillId="8" borderId="0" xfId="3" applyNumberFormat="1" applyFont="1" applyFill="1" applyAlignment="1">
      <alignment horizontal="center" vertical="center"/>
    </xf>
    <xf numFmtId="0" fontId="18" fillId="0" borderId="0" xfId="3" applyFont="1" applyFill="1" applyAlignment="1">
      <alignment vertical="center"/>
    </xf>
    <xf numFmtId="167" fontId="26" fillId="8" borderId="0" xfId="3" applyNumberFormat="1" applyFont="1" applyFill="1" applyAlignment="1">
      <alignment horizontal="center" vertical="center"/>
    </xf>
    <xf numFmtId="166" fontId="18" fillId="0" borderId="0" xfId="3" applyNumberFormat="1" applyFont="1" applyFill="1" applyAlignment="1">
      <alignment horizontal="center" vertical="center"/>
    </xf>
    <xf numFmtId="2" fontId="22" fillId="5" borderId="77" xfId="3" applyNumberFormat="1" applyFont="1" applyFill="1" applyBorder="1" applyAlignment="1">
      <alignment horizontal="center" vertical="center" wrapText="1"/>
    </xf>
    <xf numFmtId="0" fontId="18" fillId="9" borderId="0" xfId="3" applyFont="1" applyFill="1" applyAlignment="1">
      <alignment horizontal="center" vertical="center"/>
    </xf>
    <xf numFmtId="4" fontId="24" fillId="0" borderId="69" xfId="3" applyNumberFormat="1" applyFont="1" applyFill="1" applyBorder="1" applyAlignment="1">
      <alignment horizontal="center" vertical="center"/>
    </xf>
    <xf numFmtId="0" fontId="28" fillId="0" borderId="0" xfId="3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" fontId="9" fillId="0" borderId="25" xfId="0" applyNumberFormat="1" applyFont="1" applyFill="1" applyBorder="1" applyAlignment="1">
      <alignment horizontal="left" vertical="center" wrapText="1"/>
    </xf>
    <xf numFmtId="2" fontId="16" fillId="0" borderId="0" xfId="3" applyNumberFormat="1" applyFont="1" applyFill="1" applyAlignment="1">
      <alignment horizontal="center" vertical="center"/>
    </xf>
    <xf numFmtId="2" fontId="26" fillId="8" borderId="0" xfId="3" applyNumberFormat="1" applyFont="1" applyFill="1" applyAlignment="1">
      <alignment horizontal="center" vertical="center"/>
    </xf>
    <xf numFmtId="4" fontId="20" fillId="10" borderId="44" xfId="3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0" fontId="29" fillId="10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0" fontId="30" fillId="0" borderId="0" xfId="9" applyNumberFormat="1" applyFont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29" fillId="0" borderId="17" xfId="0" applyFont="1" applyBorder="1" applyAlignment="1">
      <alignment horizontal="left" vertical="center"/>
    </xf>
    <xf numFmtId="2" fontId="29" fillId="0" borderId="25" xfId="0" applyNumberFormat="1" applyFont="1" applyBorder="1" applyAlignment="1">
      <alignment horizontal="center" vertical="center"/>
    </xf>
    <xf numFmtId="2" fontId="30" fillId="0" borderId="25" xfId="0" applyNumberFormat="1" applyFont="1" applyBorder="1" applyAlignment="1">
      <alignment horizontal="center" vertical="center"/>
    </xf>
    <xf numFmtId="2" fontId="33" fillId="0" borderId="25" xfId="0" applyNumberFormat="1" applyFont="1" applyBorder="1" applyAlignment="1">
      <alignment horizontal="center" vertical="center"/>
    </xf>
    <xf numFmtId="2" fontId="33" fillId="0" borderId="78" xfId="0" applyNumberFormat="1" applyFont="1" applyBorder="1" applyAlignment="1">
      <alignment horizontal="center" vertical="center"/>
    </xf>
    <xf numFmtId="0" fontId="29" fillId="0" borderId="27" xfId="0" applyFont="1" applyBorder="1" applyAlignment="1">
      <alignment horizontal="left" vertical="center"/>
    </xf>
    <xf numFmtId="2" fontId="29" fillId="0" borderId="0" xfId="0" applyNumberFormat="1" applyFont="1" applyBorder="1" applyAlignment="1">
      <alignment horizontal="center" vertical="center"/>
    </xf>
    <xf numFmtId="2" fontId="30" fillId="0" borderId="0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2" fontId="33" fillId="0" borderId="79" xfId="0" applyNumberFormat="1" applyFont="1" applyBorder="1" applyAlignment="1">
      <alignment horizontal="center" vertical="center"/>
    </xf>
    <xf numFmtId="0" fontId="30" fillId="0" borderId="27" xfId="0" applyFont="1" applyBorder="1" applyAlignment="1">
      <alignment horizontal="right" vertical="center"/>
    </xf>
    <xf numFmtId="0" fontId="29" fillId="0" borderId="80" xfId="0" applyFont="1" applyBorder="1" applyAlignment="1">
      <alignment horizontal="left" vertical="center"/>
    </xf>
    <xf numFmtId="2" fontId="29" fillId="0" borderId="81" xfId="0" applyNumberFormat="1" applyFont="1" applyBorder="1" applyAlignment="1">
      <alignment horizontal="center" vertical="center"/>
    </xf>
    <xf numFmtId="2" fontId="30" fillId="0" borderId="81" xfId="0" applyNumberFormat="1" applyFont="1" applyBorder="1" applyAlignment="1">
      <alignment horizontal="center" vertical="center"/>
    </xf>
    <xf numFmtId="2" fontId="33" fillId="0" borderId="81" xfId="0" applyNumberFormat="1" applyFont="1" applyBorder="1" applyAlignment="1">
      <alignment horizontal="center" vertical="center"/>
    </xf>
    <xf numFmtId="2" fontId="33" fillId="0" borderId="82" xfId="0" applyNumberFormat="1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2" fontId="33" fillId="0" borderId="0" xfId="0" applyNumberFormat="1" applyFont="1" applyAlignment="1">
      <alignment horizontal="center" vertical="center"/>
    </xf>
    <xf numFmtId="0" fontId="29" fillId="0" borderId="83" xfId="0" applyFont="1" applyBorder="1" applyAlignment="1">
      <alignment horizontal="left" vertical="center"/>
    </xf>
    <xf numFmtId="166" fontId="29" fillId="0" borderId="84" xfId="0" applyNumberFormat="1" applyFont="1" applyBorder="1" applyAlignment="1">
      <alignment horizontal="center" vertical="center"/>
    </xf>
    <xf numFmtId="2" fontId="30" fillId="0" borderId="84" xfId="0" applyNumberFormat="1" applyFont="1" applyBorder="1" applyAlignment="1">
      <alignment horizontal="center" vertical="center"/>
    </xf>
    <xf numFmtId="2" fontId="33" fillId="0" borderId="84" xfId="0" applyNumberFormat="1" applyFont="1" applyBorder="1" applyAlignment="1">
      <alignment horizontal="center" vertical="center"/>
    </xf>
    <xf numFmtId="2" fontId="33" fillId="0" borderId="85" xfId="0" applyNumberFormat="1" applyFont="1" applyBorder="1" applyAlignment="1">
      <alignment horizontal="center" vertical="center"/>
    </xf>
    <xf numFmtId="166" fontId="29" fillId="0" borderId="0" xfId="0" applyNumberFormat="1" applyFont="1" applyAlignment="1">
      <alignment horizontal="center" vertical="center"/>
    </xf>
    <xf numFmtId="166" fontId="29" fillId="0" borderId="25" xfId="0" applyNumberFormat="1" applyFont="1" applyBorder="1" applyAlignment="1">
      <alignment horizontal="center" vertical="center"/>
    </xf>
    <xf numFmtId="2" fontId="34" fillId="0" borderId="25" xfId="0" applyNumberFormat="1" applyFont="1" applyBorder="1" applyAlignment="1">
      <alignment horizontal="center" vertical="center"/>
    </xf>
    <xf numFmtId="12" fontId="30" fillId="0" borderId="0" xfId="0" applyNumberFormat="1" applyFont="1" applyAlignment="1">
      <alignment horizontal="center" vertical="center"/>
    </xf>
    <xf numFmtId="166" fontId="29" fillId="0" borderId="0" xfId="0" applyNumberFormat="1" applyFont="1" applyBorder="1" applyAlignment="1">
      <alignment horizontal="center" vertical="center"/>
    </xf>
    <xf numFmtId="166" fontId="29" fillId="0" borderId="81" xfId="0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2" fontId="34" fillId="0" borderId="79" xfId="0" applyNumberFormat="1" applyFont="1" applyBorder="1" applyAlignment="1">
      <alignment horizontal="center" vertical="center"/>
    </xf>
    <xf numFmtId="2" fontId="34" fillId="0" borderId="84" xfId="0" applyNumberFormat="1" applyFont="1" applyBorder="1" applyAlignment="1">
      <alignment horizontal="center" vertical="center"/>
    </xf>
    <xf numFmtId="2" fontId="34" fillId="0" borderId="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0" fontId="32" fillId="3" borderId="0" xfId="0" applyFont="1" applyFill="1" applyAlignment="1">
      <alignment horizontal="left" vertical="center"/>
    </xf>
    <xf numFmtId="2" fontId="29" fillId="3" borderId="0" xfId="0" applyNumberFormat="1" applyFont="1" applyFill="1" applyAlignment="1">
      <alignment horizontal="center" vertical="center"/>
    </xf>
    <xf numFmtId="10" fontId="29" fillId="3" borderId="0" xfId="9" applyNumberFormat="1" applyFont="1" applyFill="1" applyAlignment="1">
      <alignment horizontal="center" vertical="center"/>
    </xf>
    <xf numFmtId="2" fontId="30" fillId="3" borderId="0" xfId="0" applyNumberFormat="1" applyFont="1" applyFill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165" fontId="35" fillId="0" borderId="0" xfId="0" applyNumberFormat="1" applyFont="1" applyAlignment="1" applyProtection="1">
      <alignment horizontal="center" vertical="center"/>
      <protection locked="0"/>
    </xf>
    <xf numFmtId="165" fontId="36" fillId="0" borderId="0" xfId="0" applyNumberFormat="1" applyFont="1" applyAlignment="1" applyProtection="1">
      <alignment horizontal="center" vertical="center"/>
      <protection locked="0"/>
    </xf>
    <xf numFmtId="165" fontId="37" fillId="0" borderId="0" xfId="0" applyNumberFormat="1" applyFont="1" applyAlignment="1" applyProtection="1">
      <alignment horizontal="center" vertical="center"/>
      <protection locked="0"/>
    </xf>
    <xf numFmtId="165" fontId="38" fillId="0" borderId="0" xfId="0" applyNumberFormat="1" applyFont="1" applyAlignment="1" applyProtection="1">
      <alignment horizontal="center" vertical="center"/>
      <protection locked="0"/>
    </xf>
    <xf numFmtId="165" fontId="39" fillId="0" borderId="0" xfId="0" applyNumberFormat="1" applyFont="1" applyAlignment="1" applyProtection="1">
      <alignment horizontal="center" vertical="center"/>
      <protection locked="0"/>
    </xf>
    <xf numFmtId="165" fontId="4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9" fillId="0" borderId="28" xfId="0" applyFont="1" applyFill="1" applyBorder="1" applyAlignment="1">
      <alignment horizontal="left" vertical="center" wrapText="1"/>
    </xf>
    <xf numFmtId="165" fontId="0" fillId="0" borderId="0" xfId="0" applyNumberFormat="1" applyAlignment="1">
      <alignment vertical="center"/>
    </xf>
    <xf numFmtId="2" fontId="26" fillId="8" borderId="0" xfId="3" applyNumberFormat="1" applyFont="1" applyFill="1" applyAlignment="1">
      <alignment vertical="center"/>
    </xf>
    <xf numFmtId="0" fontId="27" fillId="0" borderId="0" xfId="3" applyFont="1" applyFill="1" applyAlignment="1">
      <alignment vertical="center"/>
    </xf>
    <xf numFmtId="0" fontId="10" fillId="0" borderId="5" xfId="0" applyFont="1" applyFill="1" applyBorder="1" applyAlignment="1">
      <alignment vertical="center"/>
    </xf>
    <xf numFmtId="0" fontId="32" fillId="5" borderId="0" xfId="0" applyFont="1" applyFill="1" applyAlignment="1">
      <alignment horizontal="left" vertical="center"/>
    </xf>
    <xf numFmtId="2" fontId="29" fillId="5" borderId="0" xfId="0" applyNumberFormat="1" applyFont="1" applyFill="1" applyAlignment="1">
      <alignment horizontal="center" vertical="center"/>
    </xf>
    <xf numFmtId="10" fontId="29" fillId="5" borderId="0" xfId="9" applyNumberFormat="1" applyFont="1" applyFill="1" applyAlignment="1">
      <alignment horizontal="center" vertical="center"/>
    </xf>
    <xf numFmtId="2" fontId="30" fillId="5" borderId="0" xfId="0" applyNumberFormat="1" applyFont="1" applyFill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0" fontId="4" fillId="0" borderId="0" xfId="0" applyNumberFormat="1" applyFont="1" applyBorder="1" applyAlignment="1" applyProtection="1">
      <alignment vertical="center"/>
      <protection locked="0"/>
    </xf>
    <xf numFmtId="0" fontId="42" fillId="0" borderId="0" xfId="0" applyNumberFormat="1" applyFont="1" applyBorder="1" applyAlignment="1" applyProtection="1">
      <alignment horizontal="center" vertical="center"/>
      <protection locked="0"/>
    </xf>
    <xf numFmtId="168" fontId="37" fillId="0" borderId="0" xfId="0" applyNumberFormat="1" applyFont="1" applyAlignment="1" applyProtection="1">
      <alignment horizontal="center" vertical="center"/>
      <protection locked="0"/>
    </xf>
    <xf numFmtId="168" fontId="43" fillId="0" borderId="0" xfId="0" applyNumberFormat="1" applyFont="1" applyAlignment="1">
      <alignment horizontal="center" vertical="center"/>
    </xf>
    <xf numFmtId="49" fontId="44" fillId="0" borderId="0" xfId="3" applyNumberFormat="1" applyFont="1" applyFill="1" applyBorder="1" applyAlignment="1">
      <alignment horizontal="center" vertical="center"/>
    </xf>
    <xf numFmtId="2" fontId="44" fillId="0" borderId="0" xfId="3" applyNumberFormat="1" applyFont="1" applyFill="1" applyBorder="1" applyAlignment="1">
      <alignment horizontal="center" vertical="center"/>
    </xf>
    <xf numFmtId="1" fontId="44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10" fontId="9" fillId="0" borderId="0" xfId="3" applyNumberFormat="1" applyFont="1" applyFill="1" applyAlignment="1">
      <alignment vertical="center"/>
    </xf>
    <xf numFmtId="166" fontId="9" fillId="0" borderId="0" xfId="3" applyNumberFormat="1" applyFont="1" applyFill="1" applyAlignment="1">
      <alignment vertical="center"/>
    </xf>
    <xf numFmtId="2" fontId="9" fillId="0" borderId="0" xfId="3" applyNumberFormat="1" applyFont="1" applyFill="1" applyAlignment="1">
      <alignment vertical="center"/>
    </xf>
    <xf numFmtId="0" fontId="10" fillId="0" borderId="18" xfId="3" applyFont="1" applyFill="1" applyBorder="1" applyAlignment="1">
      <alignment horizontal="left" vertical="center" wrapText="1"/>
    </xf>
    <xf numFmtId="0" fontId="10" fillId="0" borderId="19" xfId="3" applyFont="1" applyFill="1" applyBorder="1" applyAlignment="1">
      <alignment horizontal="center" vertical="center" wrapText="1"/>
    </xf>
    <xf numFmtId="2" fontId="10" fillId="0" borderId="19" xfId="3" applyNumberFormat="1" applyFont="1" applyFill="1" applyBorder="1" applyAlignment="1">
      <alignment horizontal="left" vertical="center"/>
    </xf>
    <xf numFmtId="49" fontId="5" fillId="0" borderId="19" xfId="3" applyNumberFormat="1" applyFont="1" applyFill="1" applyBorder="1" applyAlignment="1">
      <alignment vertical="center" wrapText="1"/>
    </xf>
    <xf numFmtId="1" fontId="5" fillId="0" borderId="19" xfId="3" applyNumberFormat="1" applyFont="1" applyFill="1" applyBorder="1" applyAlignment="1">
      <alignment vertical="center" wrapText="1"/>
    </xf>
    <xf numFmtId="166" fontId="5" fillId="0" borderId="19" xfId="3" applyNumberFormat="1" applyFont="1" applyFill="1" applyBorder="1" applyAlignment="1">
      <alignment vertical="center" wrapText="1"/>
    </xf>
    <xf numFmtId="0" fontId="9" fillId="0" borderId="19" xfId="3" applyFont="1" applyFill="1" applyBorder="1" applyAlignment="1">
      <alignment vertical="center"/>
    </xf>
    <xf numFmtId="0" fontId="9" fillId="0" borderId="20" xfId="3" applyFont="1" applyFill="1" applyBorder="1" applyAlignment="1">
      <alignment vertical="center"/>
    </xf>
    <xf numFmtId="4" fontId="10" fillId="0" borderId="5" xfId="3" applyNumberFormat="1" applyFont="1" applyFill="1" applyBorder="1" applyAlignment="1">
      <alignment horizontal="left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2" fontId="10" fillId="0" borderId="0" xfId="3" applyNumberFormat="1" applyFont="1" applyFill="1" applyBorder="1" applyAlignment="1">
      <alignment horizontal="left" vertical="center"/>
    </xf>
    <xf numFmtId="0" fontId="10" fillId="0" borderId="0" xfId="3" applyFont="1" applyFill="1" applyBorder="1" applyAlignment="1">
      <alignment vertical="center"/>
    </xf>
    <xf numFmtId="1" fontId="10" fillId="0" borderId="0" xfId="3" applyNumberFormat="1" applyFont="1" applyFill="1" applyBorder="1" applyAlignment="1">
      <alignment vertical="center"/>
    </xf>
    <xf numFmtId="166" fontId="10" fillId="0" borderId="0" xfId="3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6" xfId="3" applyFont="1" applyFill="1" applyBorder="1" applyAlignment="1">
      <alignment vertical="center"/>
    </xf>
    <xf numFmtId="0" fontId="10" fillId="0" borderId="7" xfId="3" applyFont="1" applyFill="1" applyBorder="1" applyAlignment="1">
      <alignment horizontal="left" vertical="center" wrapText="1"/>
    </xf>
    <xf numFmtId="0" fontId="10" fillId="0" borderId="8" xfId="3" applyFont="1" applyFill="1" applyBorder="1" applyAlignment="1">
      <alignment horizontal="center" vertical="center" wrapText="1"/>
    </xf>
    <xf numFmtId="166" fontId="10" fillId="0" borderId="8" xfId="3" applyNumberFormat="1" applyFont="1" applyFill="1" applyBorder="1" applyAlignment="1">
      <alignment vertical="center"/>
    </xf>
    <xf numFmtId="0" fontId="9" fillId="0" borderId="8" xfId="3" applyFont="1" applyFill="1" applyBorder="1" applyAlignment="1">
      <alignment vertical="center"/>
    </xf>
    <xf numFmtId="0" fontId="9" fillId="0" borderId="9" xfId="3" applyFont="1" applyFill="1" applyBorder="1" applyAlignment="1">
      <alignment vertical="center"/>
    </xf>
    <xf numFmtId="0" fontId="10" fillId="0" borderId="8" xfId="3" applyFont="1" applyFill="1" applyBorder="1" applyAlignment="1">
      <alignment horizontal="left" vertical="center" wrapText="1"/>
    </xf>
    <xf numFmtId="1" fontId="45" fillId="0" borderId="15" xfId="3" applyNumberFormat="1" applyFont="1" applyFill="1" applyBorder="1" applyAlignment="1">
      <alignment horizontal="center" vertical="center" wrapText="1"/>
    </xf>
    <xf numFmtId="0" fontId="47" fillId="0" borderId="0" xfId="3" applyFont="1" applyFill="1" applyAlignment="1">
      <alignment horizontal="center" vertical="center"/>
    </xf>
    <xf numFmtId="1" fontId="45" fillId="0" borderId="88" xfId="3" applyNumberFormat="1" applyFont="1" applyFill="1" applyBorder="1" applyAlignment="1">
      <alignment horizontal="center" vertical="center" wrapText="1"/>
    </xf>
    <xf numFmtId="2" fontId="15" fillId="0" borderId="46" xfId="3" applyNumberFormat="1" applyFont="1" applyFill="1" applyBorder="1" applyAlignment="1">
      <alignment horizontal="center" vertical="center"/>
    </xf>
    <xf numFmtId="2" fontId="15" fillId="0" borderId="44" xfId="3" applyNumberFormat="1" applyFont="1" applyFill="1" applyBorder="1" applyAlignment="1">
      <alignment horizontal="center" vertical="center"/>
    </xf>
    <xf numFmtId="2" fontId="15" fillId="0" borderId="47" xfId="3" applyNumberFormat="1" applyFont="1" applyFill="1" applyBorder="1" applyAlignment="1">
      <alignment horizontal="center" vertical="center"/>
    </xf>
    <xf numFmtId="2" fontId="15" fillId="0" borderId="40" xfId="3" applyNumberFormat="1" applyFont="1" applyFill="1" applyBorder="1" applyAlignment="1">
      <alignment horizontal="center" vertical="center"/>
    </xf>
    <xf numFmtId="1" fontId="45" fillId="0" borderId="89" xfId="3" applyNumberFormat="1" applyFont="1" applyFill="1" applyBorder="1" applyAlignment="1">
      <alignment horizontal="center" vertical="center" wrapText="1"/>
    </xf>
    <xf numFmtId="1" fontId="46" fillId="0" borderId="89" xfId="3" applyNumberFormat="1" applyFont="1" applyFill="1" applyBorder="1" applyAlignment="1">
      <alignment horizontal="center" vertical="center" wrapText="1"/>
    </xf>
    <xf numFmtId="1" fontId="46" fillId="0" borderId="48" xfId="3" applyNumberFormat="1" applyFont="1" applyFill="1" applyBorder="1" applyAlignment="1">
      <alignment horizontal="center" vertical="center"/>
    </xf>
    <xf numFmtId="1" fontId="46" fillId="0" borderId="45" xfId="3" applyNumberFormat="1" applyFont="1" applyFill="1" applyBorder="1" applyAlignment="1">
      <alignment horizontal="center" vertical="center"/>
    </xf>
    <xf numFmtId="1" fontId="45" fillId="0" borderId="45" xfId="3" applyNumberFormat="1" applyFont="1" applyFill="1" applyBorder="1" applyAlignment="1">
      <alignment horizontal="center" vertical="center"/>
    </xf>
    <xf numFmtId="1" fontId="45" fillId="0" borderId="49" xfId="3" applyNumberFormat="1" applyFont="1" applyFill="1" applyBorder="1" applyAlignment="1">
      <alignment horizontal="center" vertical="center"/>
    </xf>
    <xf numFmtId="1" fontId="45" fillId="0" borderId="42" xfId="3" applyNumberFormat="1" applyFont="1" applyFill="1" applyBorder="1" applyAlignment="1">
      <alignment horizontal="center" vertical="center"/>
    </xf>
    <xf numFmtId="0" fontId="45" fillId="0" borderId="14" xfId="3" applyFont="1" applyFill="1" applyBorder="1" applyAlignment="1">
      <alignment horizontal="center" vertical="center" wrapText="1"/>
    </xf>
    <xf numFmtId="0" fontId="45" fillId="0" borderId="52" xfId="3" applyFont="1" applyFill="1" applyBorder="1" applyAlignment="1">
      <alignment horizontal="center" vertical="center" wrapText="1"/>
    </xf>
    <xf numFmtId="0" fontId="45" fillId="0" borderId="90" xfId="3" applyFont="1" applyFill="1" applyBorder="1" applyAlignment="1">
      <alignment horizontal="center" vertical="center" wrapText="1"/>
    </xf>
    <xf numFmtId="0" fontId="45" fillId="0" borderId="15" xfId="3" applyFont="1" applyFill="1" applyBorder="1" applyAlignment="1">
      <alignment horizontal="center" vertical="center" wrapText="1"/>
    </xf>
    <xf numFmtId="1" fontId="45" fillId="0" borderId="15" xfId="3" applyNumberFormat="1" applyFont="1" applyFill="1" applyBorder="1" applyAlignment="1">
      <alignment vertical="center" wrapText="1"/>
    </xf>
    <xf numFmtId="1" fontId="46" fillId="0" borderId="15" xfId="3" applyNumberFormat="1" applyFont="1" applyFill="1" applyBorder="1" applyAlignment="1">
      <alignment horizontal="center" vertical="center" wrapText="1"/>
    </xf>
    <xf numFmtId="1" fontId="48" fillId="0" borderId="51" xfId="3" applyNumberFormat="1" applyFont="1" applyFill="1" applyBorder="1" applyAlignment="1">
      <alignment horizontal="center" vertical="center" wrapText="1"/>
    </xf>
    <xf numFmtId="1" fontId="48" fillId="0" borderId="43" xfId="3" applyNumberFormat="1" applyFont="1" applyFill="1" applyBorder="1" applyAlignment="1">
      <alignment horizontal="center" vertical="center" wrapText="1"/>
    </xf>
    <xf numFmtId="1" fontId="48" fillId="0" borderId="50" xfId="3" applyNumberFormat="1" applyFont="1" applyFill="1" applyBorder="1" applyAlignment="1">
      <alignment horizontal="center" vertical="center" wrapText="1"/>
    </xf>
    <xf numFmtId="1" fontId="48" fillId="0" borderId="38" xfId="3" applyNumberFormat="1" applyFont="1" applyFill="1" applyBorder="1" applyAlignment="1">
      <alignment horizontal="center" vertical="center" wrapText="1"/>
    </xf>
    <xf numFmtId="0" fontId="47" fillId="0" borderId="0" xfId="3" applyFont="1" applyFill="1" applyAlignment="1">
      <alignment vertical="center"/>
    </xf>
    <xf numFmtId="49" fontId="48" fillId="11" borderId="87" xfId="3" applyNumberFormat="1" applyFont="1" applyFill="1" applyBorder="1" applyAlignment="1">
      <alignment vertical="center" wrapText="1"/>
    </xf>
    <xf numFmtId="49" fontId="45" fillId="11" borderId="59" xfId="3" applyNumberFormat="1" applyFont="1" applyFill="1" applyBorder="1" applyAlignment="1">
      <alignment horizontal="center" vertical="center" wrapText="1"/>
    </xf>
    <xf numFmtId="169" fontId="45" fillId="11" borderId="60" xfId="3" applyNumberFormat="1" applyFont="1" applyFill="1" applyBorder="1" applyAlignment="1">
      <alignment horizontal="center" vertical="center" wrapText="1"/>
    </xf>
    <xf numFmtId="169" fontId="45" fillId="11" borderId="88" xfId="3" applyNumberFormat="1" applyFont="1" applyFill="1" applyBorder="1" applyAlignment="1">
      <alignment horizontal="center" vertical="center" wrapText="1"/>
    </xf>
    <xf numFmtId="2" fontId="1" fillId="11" borderId="88" xfId="3" applyNumberFormat="1" applyFont="1" applyFill="1" applyBorder="1" applyAlignment="1">
      <alignment horizontal="left" vertical="center" wrapText="1"/>
    </xf>
    <xf numFmtId="2" fontId="1" fillId="11" borderId="88" xfId="3" applyNumberFormat="1" applyFont="1" applyFill="1" applyBorder="1" applyAlignment="1">
      <alignment horizontal="center" vertical="center"/>
    </xf>
    <xf numFmtId="2" fontId="42" fillId="11" borderId="88" xfId="3" applyNumberFormat="1" applyFont="1" applyFill="1" applyBorder="1" applyAlignment="1">
      <alignment horizontal="center" vertical="center"/>
    </xf>
    <xf numFmtId="1" fontId="42" fillId="11" borderId="88" xfId="3" applyNumberFormat="1" applyFont="1" applyFill="1" applyBorder="1" applyAlignment="1">
      <alignment horizontal="center" vertical="center"/>
    </xf>
    <xf numFmtId="0" fontId="42" fillId="11" borderId="88" xfId="3" applyFont="1" applyFill="1" applyBorder="1" applyAlignment="1">
      <alignment horizontal="center" vertical="center"/>
    </xf>
    <xf numFmtId="0" fontId="42" fillId="11" borderId="46" xfId="3" applyFont="1" applyFill="1" applyBorder="1" applyAlignment="1">
      <alignment horizontal="center" vertical="center"/>
    </xf>
    <xf numFmtId="0" fontId="42" fillId="11" borderId="44" xfId="3" applyFont="1" applyFill="1" applyBorder="1" applyAlignment="1">
      <alignment horizontal="center" vertical="center"/>
    </xf>
    <xf numFmtId="0" fontId="42" fillId="11" borderId="47" xfId="3" applyFont="1" applyFill="1" applyBorder="1" applyAlignment="1">
      <alignment horizontal="center" vertical="center"/>
    </xf>
    <xf numFmtId="1" fontId="48" fillId="11" borderId="44" xfId="3" applyNumberFormat="1" applyFont="1" applyFill="1" applyBorder="1" applyAlignment="1">
      <alignment horizontal="center" vertical="center" wrapText="1"/>
    </xf>
    <xf numFmtId="1" fontId="48" fillId="11" borderId="47" xfId="3" applyNumberFormat="1" applyFont="1" applyFill="1" applyBorder="1" applyAlignment="1">
      <alignment horizontal="center" vertical="center" wrapText="1"/>
    </xf>
    <xf numFmtId="1" fontId="48" fillId="11" borderId="46" xfId="3" applyNumberFormat="1" applyFont="1" applyFill="1" applyBorder="1" applyAlignment="1">
      <alignment horizontal="center" vertical="center" wrapText="1"/>
    </xf>
    <xf numFmtId="0" fontId="47" fillId="11" borderId="44" xfId="3" applyFont="1" applyFill="1" applyBorder="1" applyAlignment="1">
      <alignment vertical="center"/>
    </xf>
    <xf numFmtId="0" fontId="47" fillId="11" borderId="47" xfId="3" applyFont="1" applyFill="1" applyBorder="1" applyAlignment="1">
      <alignment vertical="center"/>
    </xf>
    <xf numFmtId="0" fontId="47" fillId="11" borderId="46" xfId="3" applyFont="1" applyFill="1" applyBorder="1" applyAlignment="1">
      <alignment vertical="center"/>
    </xf>
    <xf numFmtId="0" fontId="47" fillId="11" borderId="40" xfId="3" applyFont="1" applyFill="1" applyBorder="1" applyAlignment="1">
      <alignment vertical="center"/>
    </xf>
    <xf numFmtId="49" fontId="45" fillId="0" borderId="87" xfId="3" applyNumberFormat="1" applyFont="1" applyFill="1" applyBorder="1" applyAlignment="1">
      <alignment vertical="center" wrapText="1"/>
    </xf>
    <xf numFmtId="49" fontId="45" fillId="0" borderId="59" xfId="3" applyNumberFormat="1" applyFont="1" applyFill="1" applyBorder="1" applyAlignment="1">
      <alignment horizontal="center" vertical="center" wrapText="1"/>
    </xf>
    <xf numFmtId="169" fontId="45" fillId="0" borderId="60" xfId="3" applyNumberFormat="1" applyFont="1" applyFill="1" applyBorder="1" applyAlignment="1">
      <alignment horizontal="center" vertical="center" wrapText="1"/>
    </xf>
    <xf numFmtId="169" fontId="45" fillId="0" borderId="88" xfId="3" applyNumberFormat="1" applyFont="1" applyFill="1" applyBorder="1" applyAlignment="1">
      <alignment horizontal="center" vertical="center" wrapText="1"/>
    </xf>
    <xf numFmtId="2" fontId="1" fillId="0" borderId="88" xfId="3" applyNumberFormat="1" applyFont="1" applyFill="1" applyBorder="1" applyAlignment="1">
      <alignment horizontal="left" vertical="center" wrapText="1"/>
    </xf>
    <xf numFmtId="2" fontId="1" fillId="0" borderId="88" xfId="3" applyNumberFormat="1" applyFont="1" applyFill="1" applyBorder="1" applyAlignment="1">
      <alignment horizontal="center" vertical="center"/>
    </xf>
    <xf numFmtId="2" fontId="42" fillId="0" borderId="88" xfId="3" applyNumberFormat="1" applyFont="1" applyFill="1" applyBorder="1" applyAlignment="1">
      <alignment horizontal="center" vertical="center"/>
    </xf>
    <xf numFmtId="1" fontId="42" fillId="0" borderId="88" xfId="3" applyNumberFormat="1" applyFont="1" applyFill="1" applyBorder="1" applyAlignment="1">
      <alignment horizontal="center" vertical="center"/>
    </xf>
    <xf numFmtId="0" fontId="42" fillId="0" borderId="88" xfId="3" applyFont="1" applyFill="1" applyBorder="1" applyAlignment="1">
      <alignment horizontal="center" vertical="center"/>
    </xf>
    <xf numFmtId="0" fontId="42" fillId="0" borderId="46" xfId="3" applyFont="1" applyFill="1" applyBorder="1" applyAlignment="1">
      <alignment horizontal="center" vertical="center"/>
    </xf>
    <xf numFmtId="0" fontId="42" fillId="0" borderId="44" xfId="3" applyFont="1" applyFill="1" applyBorder="1" applyAlignment="1">
      <alignment horizontal="center" vertical="center"/>
    </xf>
    <xf numFmtId="0" fontId="42" fillId="0" borderId="47" xfId="3" applyFont="1" applyFill="1" applyBorder="1" applyAlignment="1">
      <alignment horizontal="center" vertical="center"/>
    </xf>
    <xf numFmtId="0" fontId="42" fillId="0" borderId="4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42" fillId="11" borderId="40" xfId="3" applyFont="1" applyFill="1" applyBorder="1" applyAlignment="1">
      <alignment horizontal="center" vertical="center"/>
    </xf>
    <xf numFmtId="0" fontId="45" fillId="0" borderId="70" xfId="3" applyFont="1" applyFill="1" applyBorder="1" applyAlignment="1">
      <alignment horizontal="center" vertical="center"/>
    </xf>
    <xf numFmtId="0" fontId="45" fillId="0" borderId="71" xfId="3" applyFont="1" applyFill="1" applyBorder="1" applyAlignment="1">
      <alignment horizontal="center" vertical="center"/>
    </xf>
    <xf numFmtId="0" fontId="45" fillId="0" borderId="91" xfId="3" applyFont="1" applyFill="1" applyBorder="1" applyAlignment="1">
      <alignment horizontal="center" vertical="center"/>
    </xf>
    <xf numFmtId="0" fontId="45" fillId="0" borderId="3" xfId="3" applyFont="1" applyFill="1" applyBorder="1" applyAlignment="1">
      <alignment horizontal="center" vertical="center"/>
    </xf>
    <xf numFmtId="2" fontId="45" fillId="0" borderId="35" xfId="3" applyNumberFormat="1" applyFont="1" applyFill="1" applyBorder="1" applyAlignment="1">
      <alignment horizontal="center" vertical="center"/>
    </xf>
    <xf numFmtId="1" fontId="45" fillId="0" borderId="35" xfId="3" applyNumberFormat="1" applyFont="1" applyFill="1" applyBorder="1" applyAlignment="1">
      <alignment horizontal="center" vertical="center"/>
    </xf>
    <xf numFmtId="0" fontId="45" fillId="0" borderId="35" xfId="3" applyFont="1" applyFill="1" applyBorder="1" applyAlignment="1">
      <alignment horizontal="center" vertical="center"/>
    </xf>
    <xf numFmtId="1" fontId="45" fillId="0" borderId="92" xfId="3" applyNumberFormat="1" applyFont="1" applyFill="1" applyBorder="1" applyAlignment="1">
      <alignment horizontal="center" vertical="center"/>
    </xf>
    <xf numFmtId="1" fontId="45" fillId="0" borderId="71" xfId="3" applyNumberFormat="1" applyFont="1" applyFill="1" applyBorder="1" applyAlignment="1">
      <alignment horizontal="center" vertical="center"/>
    </xf>
    <xf numFmtId="1" fontId="45" fillId="0" borderId="91" xfId="3" applyNumberFormat="1" applyFont="1" applyFill="1" applyBorder="1" applyAlignment="1">
      <alignment horizontal="center" vertical="center"/>
    </xf>
    <xf numFmtId="1" fontId="45" fillId="0" borderId="93" xfId="3" applyNumberFormat="1" applyFont="1" applyFill="1" applyBorder="1" applyAlignment="1">
      <alignment horizontal="center" vertical="center"/>
    </xf>
    <xf numFmtId="1" fontId="45" fillId="0" borderId="94" xfId="3" applyNumberFormat="1" applyFont="1" applyFill="1" applyBorder="1" applyAlignment="1">
      <alignment horizontal="center" vertical="center"/>
    </xf>
    <xf numFmtId="1" fontId="45" fillId="0" borderId="72" xfId="3" applyNumberFormat="1" applyFont="1" applyFill="1" applyBorder="1" applyAlignment="1">
      <alignment horizontal="center" vertical="center"/>
    </xf>
    <xf numFmtId="0" fontId="45" fillId="0" borderId="0" xfId="3" applyFont="1" applyFill="1" applyAlignment="1">
      <alignment horizontal="center" vertical="center"/>
    </xf>
    <xf numFmtId="0" fontId="9" fillId="0" borderId="19" xfId="3" applyFont="1" applyFill="1" applyBorder="1" applyAlignment="1">
      <alignment horizontal="center" vertical="center"/>
    </xf>
    <xf numFmtId="2" fontId="9" fillId="0" borderId="19" xfId="3" applyNumberFormat="1" applyFont="1" applyFill="1" applyBorder="1" applyAlignment="1">
      <alignment vertical="center"/>
    </xf>
    <xf numFmtId="1" fontId="9" fillId="0" borderId="19" xfId="3" applyNumberFormat="1" applyFont="1" applyFill="1" applyBorder="1" applyAlignment="1">
      <alignment vertical="center"/>
    </xf>
    <xf numFmtId="10" fontId="9" fillId="0" borderId="19" xfId="3" applyNumberFormat="1" applyFont="1" applyFill="1" applyBorder="1" applyAlignment="1">
      <alignment vertical="center"/>
    </xf>
    <xf numFmtId="166" fontId="9" fillId="0" borderId="19" xfId="3" applyNumberFormat="1" applyFont="1" applyFill="1" applyBorder="1" applyAlignment="1">
      <alignment vertical="center"/>
    </xf>
    <xf numFmtId="2" fontId="5" fillId="0" borderId="19" xfId="3" applyNumberFormat="1" applyFont="1" applyFill="1" applyBorder="1" applyAlignment="1">
      <alignment vertical="center"/>
    </xf>
    <xf numFmtId="4" fontId="5" fillId="0" borderId="19" xfId="3" applyNumberFormat="1" applyFont="1" applyFill="1" applyBorder="1" applyAlignment="1">
      <alignment horizontal="center" vertical="center"/>
    </xf>
    <xf numFmtId="0" fontId="5" fillId="0" borderId="19" xfId="3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1" fontId="9" fillId="0" borderId="0" xfId="3" applyNumberFormat="1" applyFont="1" applyFill="1" applyAlignment="1">
      <alignment vertical="center"/>
    </xf>
    <xf numFmtId="2" fontId="9" fillId="0" borderId="0" xfId="3" applyNumberFormat="1" applyFont="1" applyFill="1" applyAlignment="1">
      <alignment horizontal="center" vertical="center"/>
    </xf>
    <xf numFmtId="1" fontId="9" fillId="0" borderId="0" xfId="3" applyNumberFormat="1" applyFont="1" applyFill="1" applyAlignment="1">
      <alignment horizontal="center" vertical="center"/>
    </xf>
    <xf numFmtId="10" fontId="9" fillId="0" borderId="0" xfId="3" applyNumberFormat="1" applyFont="1" applyFill="1" applyAlignment="1">
      <alignment horizontal="center" vertical="center"/>
    </xf>
    <xf numFmtId="166" fontId="9" fillId="0" borderId="0" xfId="3" applyNumberFormat="1" applyFont="1" applyFill="1" applyAlignment="1">
      <alignment horizontal="center" vertical="center"/>
    </xf>
    <xf numFmtId="0" fontId="7" fillId="0" borderId="95" xfId="2" applyNumberFormat="1" applyFont="1" applyFill="1" applyBorder="1" applyAlignment="1" applyProtection="1">
      <alignment horizontal="center" vertical="center"/>
      <protection locked="0"/>
    </xf>
    <xf numFmtId="0" fontId="35" fillId="0" borderId="14" xfId="0" applyNumberFormat="1" applyFont="1" applyBorder="1" applyAlignment="1" applyProtection="1">
      <alignment vertical="center"/>
      <protection locked="0"/>
    </xf>
    <xf numFmtId="0" fontId="35" fillId="0" borderId="15" xfId="0" applyNumberFormat="1" applyFont="1" applyBorder="1" applyAlignment="1" applyProtection="1">
      <alignment horizontal="center" vertical="center"/>
      <protection locked="0"/>
    </xf>
    <xf numFmtId="0" fontId="36" fillId="0" borderId="87" xfId="0" applyNumberFormat="1" applyFont="1" applyBorder="1" applyAlignment="1" applyProtection="1">
      <alignment vertical="center"/>
      <protection locked="0"/>
    </xf>
    <xf numFmtId="0" fontId="36" fillId="0" borderId="88" xfId="0" applyNumberFormat="1" applyFont="1" applyBorder="1" applyAlignment="1" applyProtection="1">
      <alignment horizontal="center" vertical="center"/>
      <protection locked="0"/>
    </xf>
    <xf numFmtId="0" fontId="37" fillId="0" borderId="87" xfId="0" applyNumberFormat="1" applyFont="1" applyBorder="1" applyAlignment="1" applyProtection="1">
      <alignment vertical="center"/>
      <protection locked="0"/>
    </xf>
    <xf numFmtId="0" fontId="37" fillId="0" borderId="88" xfId="0" applyNumberFormat="1" applyFont="1" applyBorder="1" applyAlignment="1" applyProtection="1">
      <alignment horizontal="center" vertical="center"/>
      <protection locked="0"/>
    </xf>
    <xf numFmtId="0" fontId="38" fillId="0" borderId="87" xfId="0" applyNumberFormat="1" applyFont="1" applyBorder="1" applyAlignment="1" applyProtection="1">
      <alignment vertical="center"/>
      <protection locked="0"/>
    </xf>
    <xf numFmtId="0" fontId="38" fillId="0" borderId="88" xfId="0" applyNumberFormat="1" applyFont="1" applyBorder="1" applyAlignment="1" applyProtection="1">
      <alignment horizontal="center" vertical="center"/>
      <protection locked="0"/>
    </xf>
    <xf numFmtId="0" fontId="39" fillId="0" borderId="87" xfId="0" applyNumberFormat="1" applyFont="1" applyBorder="1" applyAlignment="1" applyProtection="1">
      <alignment vertical="center"/>
      <protection locked="0"/>
    </xf>
    <xf numFmtId="0" fontId="39" fillId="0" borderId="88" xfId="0" applyNumberFormat="1" applyFont="1" applyBorder="1" applyAlignment="1" applyProtection="1">
      <alignment horizontal="center" vertical="center"/>
      <protection locked="0"/>
    </xf>
    <xf numFmtId="0" fontId="40" fillId="0" borderId="87" xfId="0" applyNumberFormat="1" applyFont="1" applyBorder="1" applyAlignment="1" applyProtection="1">
      <alignment vertical="center"/>
      <protection locked="0"/>
    </xf>
    <xf numFmtId="0" fontId="40" fillId="0" borderId="88" xfId="0" applyNumberFormat="1" applyFont="1" applyBorder="1" applyAlignment="1" applyProtection="1">
      <alignment horizontal="center" vertical="center"/>
      <protection locked="0"/>
    </xf>
    <xf numFmtId="0" fontId="35" fillId="0" borderId="87" xfId="0" applyNumberFormat="1" applyFont="1" applyBorder="1" applyAlignment="1" applyProtection="1">
      <alignment vertical="center"/>
      <protection locked="0"/>
    </xf>
    <xf numFmtId="0" fontId="35" fillId="0" borderId="88" xfId="0" applyNumberFormat="1" applyFont="1" applyBorder="1" applyAlignment="1" applyProtection="1">
      <alignment horizontal="center" vertical="center"/>
      <protection locked="0"/>
    </xf>
    <xf numFmtId="0" fontId="41" fillId="0" borderId="88" xfId="0" applyNumberFormat="1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vertical="center"/>
    </xf>
    <xf numFmtId="0" fontId="0" fillId="0" borderId="89" xfId="0" applyBorder="1" applyAlignment="1">
      <alignment horizontal="center" vertical="center"/>
    </xf>
    <xf numFmtId="0" fontId="37" fillId="0" borderId="88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6" fillId="0" borderId="13" xfId="2" applyNumberFormat="1" applyFont="1" applyFill="1" applyBorder="1" applyAlignment="1" applyProtection="1">
      <alignment vertical="center" wrapText="1"/>
      <protection locked="0"/>
    </xf>
    <xf numFmtId="0" fontId="35" fillId="0" borderId="15" xfId="0" applyNumberFormat="1" applyFont="1" applyBorder="1" applyAlignment="1" applyProtection="1">
      <alignment vertical="center" wrapText="1"/>
      <protection locked="0"/>
    </xf>
    <xf numFmtId="0" fontId="36" fillId="0" borderId="88" xfId="0" applyNumberFormat="1" applyFont="1" applyBorder="1" applyAlignment="1" applyProtection="1">
      <alignment vertical="center" wrapText="1"/>
      <protection locked="0"/>
    </xf>
    <xf numFmtId="0" fontId="38" fillId="0" borderId="88" xfId="0" applyNumberFormat="1" applyFont="1" applyBorder="1" applyAlignment="1" applyProtection="1">
      <alignment vertical="center" wrapText="1"/>
      <protection locked="0"/>
    </xf>
    <xf numFmtId="0" fontId="39" fillId="0" borderId="88" xfId="0" applyNumberFormat="1" applyFont="1" applyBorder="1" applyAlignment="1" applyProtection="1">
      <alignment vertical="center" wrapText="1"/>
      <protection locked="0"/>
    </xf>
    <xf numFmtId="0" fontId="40" fillId="0" borderId="88" xfId="0" applyNumberFormat="1" applyFont="1" applyBorder="1" applyAlignment="1" applyProtection="1">
      <alignment vertical="center" wrapText="1"/>
      <protection locked="0"/>
    </xf>
    <xf numFmtId="0" fontId="35" fillId="0" borderId="88" xfId="0" applyNumberFormat="1" applyFont="1" applyBorder="1" applyAlignment="1" applyProtection="1">
      <alignment vertical="center" wrapText="1"/>
      <protection locked="0"/>
    </xf>
    <xf numFmtId="0" fontId="0" fillId="0" borderId="89" xfId="0" applyBorder="1" applyAlignment="1">
      <alignment vertical="center" wrapText="1"/>
    </xf>
    <xf numFmtId="2" fontId="37" fillId="0" borderId="88" xfId="0" applyNumberFormat="1" applyFont="1" applyBorder="1" applyAlignment="1" applyProtection="1">
      <alignment horizontal="center" vertical="center"/>
      <protection locked="0"/>
    </xf>
    <xf numFmtId="2" fontId="38" fillId="0" borderId="88" xfId="0" applyNumberFormat="1" applyFont="1" applyBorder="1" applyAlignment="1" applyProtection="1">
      <alignment horizontal="center" vertical="center"/>
      <protection locked="0"/>
    </xf>
    <xf numFmtId="2" fontId="39" fillId="0" borderId="88" xfId="0" applyNumberFormat="1" applyFont="1" applyBorder="1" applyAlignment="1" applyProtection="1">
      <alignment horizontal="center" vertical="center"/>
      <protection locked="0"/>
    </xf>
    <xf numFmtId="2" fontId="40" fillId="0" borderId="88" xfId="0" applyNumberFormat="1" applyFont="1" applyBorder="1" applyAlignment="1" applyProtection="1">
      <alignment horizontal="center" vertical="center"/>
      <protection locked="0"/>
    </xf>
    <xf numFmtId="2" fontId="35" fillId="0" borderId="88" xfId="0" applyNumberFormat="1" applyFont="1" applyBorder="1" applyAlignment="1" applyProtection="1">
      <alignment horizontal="center" vertical="center"/>
      <protection locked="0"/>
    </xf>
    <xf numFmtId="2" fontId="36" fillId="0" borderId="88" xfId="0" applyNumberFormat="1" applyFont="1" applyBorder="1" applyAlignment="1" applyProtection="1">
      <alignment horizontal="center" vertical="center"/>
      <protection locked="0"/>
    </xf>
    <xf numFmtId="2" fontId="41" fillId="0" borderId="88" xfId="0" applyNumberFormat="1" applyFont="1" applyBorder="1" applyAlignment="1" applyProtection="1">
      <alignment horizontal="center" vertical="center"/>
      <protection locked="0"/>
    </xf>
    <xf numFmtId="0" fontId="37" fillId="0" borderId="88" xfId="0" applyNumberFormat="1" applyFont="1" applyBorder="1" applyAlignment="1" applyProtection="1">
      <alignment horizontal="right" vertical="center" wrapText="1"/>
      <protection locked="0"/>
    </xf>
    <xf numFmtId="2" fontId="0" fillId="0" borderId="0" xfId="0" applyNumberFormat="1" applyAlignment="1">
      <alignment horizontal="center" vertical="center"/>
    </xf>
    <xf numFmtId="2" fontId="9" fillId="0" borderId="25" xfId="0" applyNumberFormat="1" applyFont="1" applyFill="1" applyBorder="1" applyAlignment="1">
      <alignment horizontal="left" vertical="center" wrapText="1"/>
    </xf>
    <xf numFmtId="2" fontId="9" fillId="0" borderId="26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>
      <alignment horizontal="left" vertical="center"/>
    </xf>
    <xf numFmtId="2" fontId="9" fillId="0" borderId="6" xfId="0" applyNumberFormat="1" applyFont="1" applyFill="1" applyBorder="1" applyAlignment="1">
      <alignment horizontal="left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2" fontId="7" fillId="0" borderId="95" xfId="2" applyNumberFormat="1" applyFont="1" applyFill="1" applyBorder="1" applyAlignment="1" applyProtection="1">
      <alignment horizontal="center" vertical="center"/>
      <protection locked="0"/>
    </xf>
    <xf numFmtId="2" fontId="7" fillId="0" borderId="30" xfId="2" applyNumberFormat="1" applyFont="1" applyFill="1" applyBorder="1" applyAlignment="1" applyProtection="1">
      <alignment horizontal="center" vertical="center"/>
      <protection locked="0"/>
    </xf>
    <xf numFmtId="2" fontId="35" fillId="0" borderId="15" xfId="0" applyNumberFormat="1" applyFont="1" applyBorder="1" applyAlignment="1" applyProtection="1">
      <alignment horizontal="center" vertical="center"/>
      <protection locked="0"/>
    </xf>
    <xf numFmtId="2" fontId="35" fillId="0" borderId="86" xfId="0" applyNumberFormat="1" applyFont="1" applyBorder="1" applyAlignment="1" applyProtection="1">
      <alignment horizontal="center" vertical="center"/>
      <protection locked="0"/>
    </xf>
    <xf numFmtId="2" fontId="36" fillId="0" borderId="96" xfId="0" applyNumberFormat="1" applyFont="1" applyBorder="1" applyAlignment="1" applyProtection="1">
      <alignment horizontal="center" vertical="center"/>
      <protection locked="0"/>
    </xf>
    <xf numFmtId="2" fontId="38" fillId="0" borderId="96" xfId="0" applyNumberFormat="1" applyFont="1" applyBorder="1" applyAlignment="1" applyProtection="1">
      <alignment horizontal="center" vertical="center"/>
      <protection locked="0"/>
    </xf>
    <xf numFmtId="2" fontId="37" fillId="0" borderId="96" xfId="0" applyNumberFormat="1" applyFont="1" applyBorder="1" applyAlignment="1" applyProtection="1">
      <alignment horizontal="center" vertical="center"/>
      <protection locked="0"/>
    </xf>
    <xf numFmtId="2" fontId="0" fillId="0" borderId="89" xfId="0" applyNumberFormat="1" applyBorder="1" applyAlignment="1">
      <alignment horizontal="center" vertical="center"/>
    </xf>
    <xf numFmtId="2" fontId="0" fillId="0" borderId="97" xfId="0" applyNumberFormat="1" applyBorder="1" applyAlignment="1">
      <alignment horizontal="center" vertical="center"/>
    </xf>
    <xf numFmtId="2" fontId="49" fillId="0" borderId="96" xfId="0" applyNumberFormat="1" applyFont="1" applyBorder="1" applyAlignment="1" applyProtection="1">
      <alignment horizontal="center" vertical="center"/>
      <protection locked="0"/>
    </xf>
    <xf numFmtId="0" fontId="4" fillId="0" borderId="88" xfId="0" applyNumberFormat="1" applyFont="1" applyBorder="1" applyAlignment="1" applyProtection="1">
      <alignment horizontal="right" vertical="center" wrapText="1"/>
      <protection locked="0"/>
    </xf>
    <xf numFmtId="2" fontId="4" fillId="0" borderId="88" xfId="0" applyNumberFormat="1" applyFont="1" applyBorder="1" applyAlignment="1" applyProtection="1">
      <alignment horizontal="center" vertical="center"/>
      <protection locked="0"/>
    </xf>
    <xf numFmtId="0" fontId="6" fillId="0" borderId="88" xfId="0" applyNumberFormat="1" applyFont="1" applyBorder="1" applyAlignment="1" applyProtection="1">
      <alignment horizontal="right" vertical="center" wrapText="1"/>
      <protection locked="0"/>
    </xf>
    <xf numFmtId="2" fontId="6" fillId="0" borderId="88" xfId="0" applyNumberFormat="1" applyFont="1" applyBorder="1" applyAlignment="1" applyProtection="1">
      <alignment horizontal="center" vertical="center"/>
      <protection locked="0"/>
    </xf>
    <xf numFmtId="2" fontId="4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 applyProtection="1">
      <alignment horizontal="left" vertical="center" indent="1"/>
      <protection locked="0"/>
    </xf>
    <xf numFmtId="0" fontId="50" fillId="0" borderId="0" xfId="0" applyNumberFormat="1" applyFont="1" applyBorder="1" applyAlignment="1" applyProtection="1">
      <alignment horizontal="right" vertical="center"/>
      <protection locked="0"/>
    </xf>
    <xf numFmtId="2" fontId="51" fillId="0" borderId="0" xfId="3" applyNumberFormat="1" applyFont="1" applyFill="1" applyAlignment="1">
      <alignment horizontal="center" vertical="center"/>
    </xf>
    <xf numFmtId="0" fontId="45" fillId="0" borderId="14" xfId="3" applyFont="1" applyFill="1" applyBorder="1" applyAlignment="1">
      <alignment horizontal="center" vertical="center" wrapText="1"/>
    </xf>
    <xf numFmtId="0" fontId="45" fillId="0" borderId="15" xfId="3" applyFont="1" applyFill="1" applyBorder="1" applyAlignment="1">
      <alignment horizontal="center" vertical="center" wrapText="1"/>
    </xf>
    <xf numFmtId="1" fontId="45" fillId="0" borderId="15" xfId="3" applyNumberFormat="1" applyFont="1" applyFill="1" applyBorder="1" applyAlignment="1">
      <alignment horizontal="center" vertical="center" wrapText="1"/>
    </xf>
    <xf numFmtId="2" fontId="44" fillId="0" borderId="0" xfId="3" applyNumberFormat="1" applyFont="1" applyFill="1" applyBorder="1" applyAlignment="1">
      <alignment horizontal="center" vertical="center" wrapText="1"/>
    </xf>
    <xf numFmtId="2" fontId="10" fillId="0" borderId="8" xfId="3" applyNumberFormat="1" applyFont="1" applyFill="1" applyBorder="1" applyAlignment="1">
      <alignment horizontal="center" vertical="center" wrapText="1"/>
    </xf>
    <xf numFmtId="2" fontId="1" fillId="11" borderId="88" xfId="3" applyNumberFormat="1" applyFont="1" applyFill="1" applyBorder="1" applyAlignment="1">
      <alignment horizontal="center" vertical="center" wrapText="1"/>
    </xf>
    <xf numFmtId="2" fontId="1" fillId="0" borderId="88" xfId="3" applyNumberFormat="1" applyFont="1" applyFill="1" applyBorder="1" applyAlignment="1">
      <alignment horizontal="center" vertical="center" wrapText="1"/>
    </xf>
    <xf numFmtId="2" fontId="45" fillId="0" borderId="35" xfId="3" applyNumberFormat="1" applyFont="1" applyFill="1" applyBorder="1" applyAlignment="1">
      <alignment horizontal="center" vertical="center" wrapText="1"/>
    </xf>
    <xf numFmtId="2" fontId="9" fillId="0" borderId="19" xfId="3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2" fontId="9" fillId="0" borderId="0" xfId="3" applyNumberFormat="1" applyFont="1" applyFill="1" applyAlignment="1">
      <alignment horizontal="center" vertical="center" wrapText="1"/>
    </xf>
    <xf numFmtId="1" fontId="1" fillId="0" borderId="88" xfId="3" applyNumberFormat="1" applyFont="1" applyFill="1" applyBorder="1" applyAlignment="1">
      <alignment horizontal="center" vertical="center"/>
    </xf>
    <xf numFmtId="2" fontId="42" fillId="0" borderId="0" xfId="3" applyNumberFormat="1" applyFont="1" applyFill="1" applyBorder="1" applyAlignment="1">
      <alignment horizontal="center" vertical="center"/>
    </xf>
    <xf numFmtId="0" fontId="42" fillId="0" borderId="69" xfId="3" applyFont="1" applyFill="1" applyBorder="1" applyAlignment="1">
      <alignment horizontal="center" vertical="center"/>
    </xf>
    <xf numFmtId="0" fontId="42" fillId="0" borderId="77" xfId="3" applyFont="1" applyFill="1" applyBorder="1" applyAlignment="1">
      <alignment horizontal="center" vertical="center"/>
    </xf>
    <xf numFmtId="0" fontId="47" fillId="0" borderId="44" xfId="3" applyFont="1" applyFill="1" applyBorder="1" applyAlignment="1">
      <alignment vertical="center"/>
    </xf>
    <xf numFmtId="0" fontId="47" fillId="0" borderId="47" xfId="3" applyFont="1" applyFill="1" applyBorder="1" applyAlignment="1">
      <alignment vertical="center"/>
    </xf>
    <xf numFmtId="0" fontId="47" fillId="0" borderId="46" xfId="3" applyFont="1" applyFill="1" applyBorder="1" applyAlignment="1">
      <alignment vertical="center"/>
    </xf>
    <xf numFmtId="0" fontId="47" fillId="0" borderId="40" xfId="3" applyFont="1" applyFill="1" applyBorder="1" applyAlignment="1">
      <alignment vertical="center"/>
    </xf>
    <xf numFmtId="0" fontId="1" fillId="11" borderId="0" xfId="3" applyFont="1" applyFill="1" applyBorder="1" applyAlignment="1">
      <alignment vertical="center"/>
    </xf>
    <xf numFmtId="1" fontId="1" fillId="11" borderId="88" xfId="3" applyNumberFormat="1" applyFont="1" applyFill="1" applyBorder="1" applyAlignment="1">
      <alignment horizontal="center" vertical="center"/>
    </xf>
    <xf numFmtId="165" fontId="35" fillId="0" borderId="0" xfId="0" applyNumberFormat="1" applyFont="1" applyAlignment="1" applyProtection="1">
      <alignment vertical="center"/>
      <protection locked="0"/>
    </xf>
    <xf numFmtId="165" fontId="36" fillId="0" borderId="0" xfId="0" applyNumberFormat="1" applyFont="1" applyAlignment="1" applyProtection="1">
      <alignment vertical="center"/>
      <protection locked="0"/>
    </xf>
    <xf numFmtId="165" fontId="37" fillId="0" borderId="0" xfId="0" applyNumberFormat="1" applyFont="1" applyAlignment="1" applyProtection="1">
      <alignment vertical="center"/>
      <protection locked="0"/>
    </xf>
    <xf numFmtId="165" fontId="38" fillId="0" borderId="0" xfId="0" applyNumberFormat="1" applyFont="1" applyAlignment="1" applyProtection="1">
      <alignment vertical="center"/>
      <protection locked="0"/>
    </xf>
    <xf numFmtId="165" fontId="39" fillId="0" borderId="0" xfId="0" applyNumberFormat="1" applyFont="1" applyAlignment="1" applyProtection="1">
      <alignment vertical="center"/>
      <protection locked="0"/>
    </xf>
    <xf numFmtId="165" fontId="40" fillId="0" borderId="0" xfId="0" applyNumberFormat="1" applyFont="1" applyAlignment="1" applyProtection="1">
      <alignment vertical="center"/>
      <protection locked="0"/>
    </xf>
    <xf numFmtId="0" fontId="37" fillId="0" borderId="88" xfId="0" applyNumberFormat="1" applyFont="1" applyBorder="1" applyAlignment="1" applyProtection="1">
      <alignment vertical="center"/>
      <protection locked="0"/>
    </xf>
    <xf numFmtId="0" fontId="39" fillId="0" borderId="88" xfId="0" applyNumberFormat="1" applyFont="1" applyBorder="1" applyAlignment="1" applyProtection="1">
      <alignment vertical="center"/>
      <protection locked="0"/>
    </xf>
    <xf numFmtId="0" fontId="36" fillId="0" borderId="88" xfId="0" applyNumberFormat="1" applyFont="1" applyBorder="1" applyAlignment="1" applyProtection="1">
      <alignment vertical="center"/>
      <protection locked="0"/>
    </xf>
    <xf numFmtId="4" fontId="9" fillId="0" borderId="17" xfId="0" applyNumberFormat="1" applyFont="1" applyFill="1" applyBorder="1" applyAlignment="1">
      <alignment vertical="center"/>
    </xf>
    <xf numFmtId="0" fontId="35" fillId="12" borderId="14" xfId="0" applyNumberFormat="1" applyFont="1" applyFill="1" applyBorder="1" applyAlignment="1" applyProtection="1">
      <alignment vertical="center"/>
      <protection locked="0"/>
    </xf>
    <xf numFmtId="0" fontId="35" fillId="12" borderId="15" xfId="0" applyNumberFormat="1" applyFont="1" applyFill="1" applyBorder="1" applyAlignment="1" applyProtection="1">
      <alignment vertical="center" wrapText="1"/>
      <protection locked="0"/>
    </xf>
    <xf numFmtId="0" fontId="35" fillId="12" borderId="15" xfId="0" applyNumberFormat="1" applyFont="1" applyFill="1" applyBorder="1" applyAlignment="1" applyProtection="1">
      <alignment horizontal="center" vertical="center"/>
      <protection locked="0"/>
    </xf>
    <xf numFmtId="165" fontId="35" fillId="12" borderId="86" xfId="0" applyNumberFormat="1" applyFont="1" applyFill="1" applyBorder="1" applyAlignment="1" applyProtection="1">
      <alignment horizontal="center" vertical="center"/>
      <protection locked="0"/>
    </xf>
    <xf numFmtId="165" fontId="36" fillId="0" borderId="96" xfId="0" applyNumberFormat="1" applyFont="1" applyBorder="1" applyAlignment="1" applyProtection="1">
      <alignment horizontal="center" vertical="center"/>
      <protection locked="0"/>
    </xf>
    <xf numFmtId="165" fontId="37" fillId="0" borderId="96" xfId="0" applyNumberFormat="1" applyFont="1" applyBorder="1" applyAlignment="1" applyProtection="1">
      <alignment horizontal="center" vertical="center"/>
      <protection locked="0"/>
    </xf>
    <xf numFmtId="165" fontId="38" fillId="0" borderId="96" xfId="0" applyNumberFormat="1" applyFont="1" applyBorder="1" applyAlignment="1" applyProtection="1">
      <alignment horizontal="center" vertical="center"/>
      <protection locked="0"/>
    </xf>
    <xf numFmtId="165" fontId="39" fillId="0" borderId="96" xfId="0" applyNumberFormat="1" applyFont="1" applyBorder="1" applyAlignment="1" applyProtection="1">
      <alignment horizontal="center" vertical="center"/>
      <protection locked="0"/>
    </xf>
    <xf numFmtId="165" fontId="35" fillId="0" borderId="96" xfId="0" applyNumberFormat="1" applyFont="1" applyBorder="1" applyAlignment="1" applyProtection="1">
      <alignment horizontal="center" vertical="center"/>
      <protection locked="0"/>
    </xf>
    <xf numFmtId="0" fontId="35" fillId="12" borderId="87" xfId="0" applyNumberFormat="1" applyFont="1" applyFill="1" applyBorder="1" applyAlignment="1" applyProtection="1">
      <alignment vertical="center"/>
      <protection locked="0"/>
    </xf>
    <xf numFmtId="0" fontId="35" fillId="12" borderId="88" xfId="0" applyNumberFormat="1" applyFont="1" applyFill="1" applyBorder="1" applyAlignment="1" applyProtection="1">
      <alignment vertical="center" wrapText="1"/>
      <protection locked="0"/>
    </xf>
    <xf numFmtId="165" fontId="35" fillId="12" borderId="96" xfId="0" applyNumberFormat="1" applyFont="1" applyFill="1" applyBorder="1" applyAlignment="1" applyProtection="1">
      <alignment horizontal="center" vertical="center"/>
      <protection locked="0"/>
    </xf>
    <xf numFmtId="0" fontId="4" fillId="0" borderId="88" xfId="0" applyNumberFormat="1" applyFont="1" applyBorder="1" applyAlignment="1" applyProtection="1">
      <alignment vertical="center" wrapText="1"/>
      <protection locked="0"/>
    </xf>
    <xf numFmtId="0" fontId="52" fillId="0" borderId="88" xfId="0" applyNumberFormat="1" applyFont="1" applyBorder="1" applyAlignment="1" applyProtection="1">
      <alignment vertical="center" wrapText="1"/>
      <protection locked="0"/>
    </xf>
    <xf numFmtId="165" fontId="40" fillId="0" borderId="96" xfId="0" applyNumberFormat="1" applyFont="1" applyBorder="1" applyAlignment="1" applyProtection="1">
      <alignment horizontal="center" vertical="center"/>
      <protection locked="0"/>
    </xf>
    <xf numFmtId="165" fontId="4" fillId="0" borderId="96" xfId="0" applyNumberFormat="1" applyFont="1" applyBorder="1" applyAlignment="1" applyProtection="1">
      <alignment horizontal="center" vertical="center"/>
      <protection locked="0"/>
    </xf>
    <xf numFmtId="0" fontId="35" fillId="11" borderId="87" xfId="0" applyNumberFormat="1" applyFont="1" applyFill="1" applyBorder="1" applyAlignment="1" applyProtection="1">
      <alignment vertical="center"/>
      <protection locked="0"/>
    </xf>
    <xf numFmtId="0" fontId="35" fillId="11" borderId="88" xfId="0" applyNumberFormat="1" applyFont="1" applyFill="1" applyBorder="1" applyAlignment="1" applyProtection="1">
      <alignment vertical="center" wrapText="1"/>
      <protection locked="0"/>
    </xf>
    <xf numFmtId="165" fontId="35" fillId="11" borderId="96" xfId="0" applyNumberFormat="1" applyFont="1" applyFill="1" applyBorder="1" applyAlignment="1" applyProtection="1">
      <alignment horizontal="center" vertical="center"/>
      <protection locked="0"/>
    </xf>
    <xf numFmtId="0" fontId="25" fillId="0" borderId="88" xfId="0" applyNumberFormat="1" applyFont="1" applyBorder="1" applyAlignment="1" applyProtection="1">
      <alignment vertical="center" wrapText="1"/>
      <protection locked="0"/>
    </xf>
    <xf numFmtId="0" fontId="37" fillId="0" borderId="16" xfId="0" applyNumberFormat="1" applyFont="1" applyBorder="1" applyAlignment="1" applyProtection="1">
      <alignment vertical="center"/>
      <protection locked="0"/>
    </xf>
    <xf numFmtId="0" fontId="37" fillId="0" borderId="89" xfId="0" applyNumberFormat="1" applyFont="1" applyBorder="1" applyAlignment="1" applyProtection="1">
      <alignment vertical="center" wrapText="1"/>
      <protection locked="0"/>
    </xf>
    <xf numFmtId="0" fontId="37" fillId="0" borderId="89" xfId="0" applyNumberFormat="1" applyFont="1" applyBorder="1" applyAlignment="1" applyProtection="1">
      <alignment horizontal="center" vertical="center"/>
      <protection locked="0"/>
    </xf>
    <xf numFmtId="165" fontId="37" fillId="0" borderId="97" xfId="0" applyNumberFormat="1" applyFont="1" applyBorder="1" applyAlignment="1" applyProtection="1">
      <alignment horizontal="center" vertical="center"/>
      <protection locked="0"/>
    </xf>
    <xf numFmtId="0" fontId="1" fillId="0" borderId="88" xfId="0" applyNumberFormat="1" applyFont="1" applyBorder="1" applyAlignment="1" applyProtection="1">
      <alignment vertical="center" wrapText="1"/>
      <protection locked="0"/>
    </xf>
    <xf numFmtId="2" fontId="15" fillId="0" borderId="69" xfId="3" applyNumberFormat="1" applyFont="1" applyFill="1" applyBorder="1" applyAlignment="1">
      <alignment horizontal="center" vertical="center"/>
    </xf>
    <xf numFmtId="1" fontId="46" fillId="0" borderId="62" xfId="3" applyNumberFormat="1" applyFont="1" applyFill="1" applyBorder="1" applyAlignment="1">
      <alignment horizontal="center" vertical="center"/>
    </xf>
    <xf numFmtId="1" fontId="48" fillId="0" borderId="61" xfId="3" applyNumberFormat="1" applyFont="1" applyFill="1" applyBorder="1" applyAlignment="1">
      <alignment horizontal="center" vertical="center" wrapText="1"/>
    </xf>
    <xf numFmtId="0" fontId="42" fillId="11" borderId="69" xfId="3" applyFont="1" applyFill="1" applyBorder="1" applyAlignment="1">
      <alignment horizontal="center" vertical="center"/>
    </xf>
    <xf numFmtId="0" fontId="42" fillId="11" borderId="96" xfId="3" applyFont="1" applyFill="1" applyBorder="1" applyAlignment="1">
      <alignment horizontal="center" vertical="center"/>
    </xf>
    <xf numFmtId="0" fontId="42" fillId="0" borderId="96" xfId="3" applyFont="1" applyFill="1" applyBorder="1" applyAlignment="1">
      <alignment horizontal="center" vertical="center"/>
    </xf>
    <xf numFmtId="0" fontId="42" fillId="0" borderId="48" xfId="3" applyFont="1" applyFill="1" applyBorder="1" applyAlignment="1">
      <alignment horizontal="center" vertical="center"/>
    </xf>
    <xf numFmtId="0" fontId="42" fillId="0" borderId="45" xfId="3" applyFont="1" applyFill="1" applyBorder="1" applyAlignment="1">
      <alignment horizontal="center" vertical="center"/>
    </xf>
    <xf numFmtId="0" fontId="42" fillId="0" borderId="42" xfId="3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35" fillId="12" borderId="88" xfId="0" applyNumberFormat="1" applyFont="1" applyFill="1" applyBorder="1" applyAlignment="1" applyProtection="1">
      <alignment horizontal="center" vertical="center"/>
      <protection locked="0"/>
    </xf>
    <xf numFmtId="0" fontId="56" fillId="0" borderId="17" xfId="0" applyFont="1" applyBorder="1" applyAlignment="1">
      <alignment horizontal="left" vertical="center"/>
    </xf>
    <xf numFmtId="166" fontId="56" fillId="0" borderId="25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80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56" fillId="0" borderId="83" xfId="0" applyFont="1" applyBorder="1" applyAlignment="1">
      <alignment horizontal="left" vertical="center"/>
    </xf>
    <xf numFmtId="166" fontId="56" fillId="0" borderId="84" xfId="0" applyNumberFormat="1" applyFont="1" applyBorder="1" applyAlignment="1">
      <alignment horizontal="center" vertical="center"/>
    </xf>
    <xf numFmtId="10" fontId="33" fillId="0" borderId="0" xfId="9" applyNumberFormat="1" applyFont="1" applyAlignment="1">
      <alignment horizontal="center" vertical="center"/>
    </xf>
    <xf numFmtId="0" fontId="16" fillId="0" borderId="99" xfId="3" applyFont="1" applyFill="1" applyBorder="1" applyAlignment="1">
      <alignment vertical="center"/>
    </xf>
    <xf numFmtId="2" fontId="21" fillId="2" borderId="99" xfId="3" applyNumberFormat="1" applyFont="1" applyFill="1" applyBorder="1" applyAlignment="1">
      <alignment horizontal="center" vertical="center" wrapText="1"/>
    </xf>
    <xf numFmtId="2" fontId="21" fillId="2" borderId="100" xfId="3" applyNumberFormat="1" applyFont="1" applyFill="1" applyBorder="1" applyAlignment="1">
      <alignment horizontal="center" vertical="center" wrapText="1"/>
    </xf>
    <xf numFmtId="0" fontId="16" fillId="0" borderId="102" xfId="3" applyFont="1" applyFill="1" applyBorder="1" applyAlignment="1">
      <alignment vertical="center"/>
    </xf>
    <xf numFmtId="2" fontId="21" fillId="2" borderId="102" xfId="3" applyNumberFormat="1" applyFont="1" applyFill="1" applyBorder="1" applyAlignment="1">
      <alignment horizontal="center" vertical="center" wrapText="1"/>
    </xf>
    <xf numFmtId="2" fontId="21" fillId="2" borderId="102" xfId="3" applyNumberFormat="1" applyFont="1" applyFill="1" applyBorder="1" applyAlignment="1">
      <alignment horizontal="center" vertical="center"/>
    </xf>
    <xf numFmtId="2" fontId="21" fillId="2" borderId="103" xfId="3" applyNumberFormat="1" applyFont="1" applyFill="1" applyBorder="1" applyAlignment="1">
      <alignment horizontal="center" vertical="center"/>
    </xf>
    <xf numFmtId="4" fontId="16" fillId="0" borderId="99" xfId="3" applyNumberFormat="1" applyFont="1" applyFill="1" applyBorder="1" applyAlignment="1">
      <alignment horizontal="center" vertical="center"/>
    </xf>
    <xf numFmtId="4" fontId="16" fillId="0" borderId="100" xfId="3" applyNumberFormat="1" applyFont="1" applyFill="1" applyBorder="1" applyAlignment="1">
      <alignment horizontal="center" vertical="center"/>
    </xf>
    <xf numFmtId="4" fontId="16" fillId="0" borderId="102" xfId="3" applyNumberFormat="1" applyFont="1" applyFill="1" applyBorder="1" applyAlignment="1">
      <alignment horizontal="center" vertical="center"/>
    </xf>
    <xf numFmtId="4" fontId="16" fillId="0" borderId="103" xfId="3" applyNumberFormat="1" applyFont="1" applyFill="1" applyBorder="1" applyAlignment="1">
      <alignment horizontal="center" vertical="center"/>
    </xf>
    <xf numFmtId="0" fontId="16" fillId="0" borderId="105" xfId="3" applyFont="1" applyFill="1" applyBorder="1" applyAlignment="1">
      <alignment vertical="center"/>
    </xf>
    <xf numFmtId="4" fontId="16" fillId="0" borderId="105" xfId="3" applyNumberFormat="1" applyFont="1" applyFill="1" applyBorder="1" applyAlignment="1">
      <alignment horizontal="center" vertical="center"/>
    </xf>
    <xf numFmtId="4" fontId="16" fillId="0" borderId="106" xfId="3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37" fillId="0" borderId="0" xfId="0" applyNumberFormat="1" applyFont="1" applyFill="1" applyAlignment="1" applyProtection="1">
      <alignment vertical="center"/>
      <protection locked="0"/>
    </xf>
    <xf numFmtId="0" fontId="36" fillId="0" borderId="87" xfId="0" applyNumberFormat="1" applyFont="1" applyFill="1" applyBorder="1" applyAlignment="1" applyProtection="1">
      <alignment vertical="center"/>
      <protection locked="0"/>
    </xf>
    <xf numFmtId="0" fontId="36" fillId="0" borderId="88" xfId="0" applyNumberFormat="1" applyFont="1" applyFill="1" applyBorder="1" applyAlignment="1" applyProtection="1">
      <alignment vertical="center" wrapText="1"/>
      <protection locked="0"/>
    </xf>
    <xf numFmtId="0" fontId="36" fillId="0" borderId="88" xfId="0" applyNumberFormat="1" applyFont="1" applyFill="1" applyBorder="1" applyAlignment="1" applyProtection="1">
      <alignment horizontal="center" vertical="center"/>
      <protection locked="0"/>
    </xf>
    <xf numFmtId="165" fontId="36" fillId="0" borderId="9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165" fontId="37" fillId="0" borderId="0" xfId="0" applyNumberFormat="1" applyFont="1" applyFill="1" applyAlignment="1" applyProtection="1">
      <alignment horizontal="center" vertical="center"/>
      <protection locked="0"/>
    </xf>
    <xf numFmtId="168" fontId="37" fillId="0" borderId="0" xfId="0" applyNumberFormat="1" applyFont="1" applyFill="1" applyAlignment="1" applyProtection="1">
      <alignment horizontal="center" vertical="center"/>
      <protection locked="0"/>
    </xf>
    <xf numFmtId="0" fontId="37" fillId="0" borderId="87" xfId="0" applyNumberFormat="1" applyFont="1" applyFill="1" applyBorder="1" applyAlignment="1" applyProtection="1">
      <alignment vertical="center"/>
      <protection locked="0"/>
    </xf>
    <xf numFmtId="0" fontId="37" fillId="0" borderId="88" xfId="0" applyNumberFormat="1" applyFont="1" applyFill="1" applyBorder="1" applyAlignment="1" applyProtection="1">
      <alignment vertical="center" wrapText="1"/>
      <protection locked="0"/>
    </xf>
    <xf numFmtId="0" fontId="37" fillId="0" borderId="88" xfId="0" applyNumberFormat="1" applyFont="1" applyFill="1" applyBorder="1" applyAlignment="1" applyProtection="1">
      <alignment horizontal="center" vertical="center"/>
      <protection locked="0"/>
    </xf>
    <xf numFmtId="165" fontId="37" fillId="0" borderId="96" xfId="0" applyNumberFormat="1" applyFont="1" applyFill="1" applyBorder="1" applyAlignment="1" applyProtection="1">
      <alignment horizontal="center" vertical="center"/>
      <protection locked="0"/>
    </xf>
    <xf numFmtId="165" fontId="36" fillId="0" borderId="0" xfId="0" applyNumberFormat="1" applyFont="1" applyFill="1" applyAlignment="1" applyProtection="1">
      <alignment vertical="center"/>
      <protection locked="0"/>
    </xf>
    <xf numFmtId="165" fontId="38" fillId="0" borderId="0" xfId="0" applyNumberFormat="1" applyFont="1" applyFill="1" applyAlignment="1" applyProtection="1">
      <alignment vertical="center"/>
      <protection locked="0"/>
    </xf>
    <xf numFmtId="165" fontId="38" fillId="0" borderId="0" xfId="0" applyNumberFormat="1" applyFont="1" applyFill="1" applyAlignment="1" applyProtection="1">
      <alignment horizontal="center" vertical="center"/>
      <protection locked="0"/>
    </xf>
    <xf numFmtId="0" fontId="37" fillId="0" borderId="0" xfId="0" applyNumberFormat="1" applyFont="1" applyFill="1" applyAlignment="1" applyProtection="1">
      <alignment vertical="center"/>
      <protection locked="0"/>
    </xf>
    <xf numFmtId="0" fontId="38" fillId="0" borderId="87" xfId="0" applyNumberFormat="1" applyFont="1" applyFill="1" applyBorder="1" applyAlignment="1" applyProtection="1">
      <alignment vertical="center"/>
      <protection locked="0"/>
    </xf>
    <xf numFmtId="0" fontId="38" fillId="0" borderId="88" xfId="0" applyNumberFormat="1" applyFont="1" applyFill="1" applyBorder="1" applyAlignment="1" applyProtection="1">
      <alignment vertical="center" wrapText="1"/>
      <protection locked="0"/>
    </xf>
    <xf numFmtId="0" fontId="38" fillId="0" borderId="88" xfId="0" applyNumberFormat="1" applyFont="1" applyFill="1" applyBorder="1" applyAlignment="1" applyProtection="1">
      <alignment horizontal="center" vertical="center"/>
      <protection locked="0"/>
    </xf>
    <xf numFmtId="165" fontId="38" fillId="0" borderId="96" xfId="0" applyNumberFormat="1" applyFont="1" applyFill="1" applyBorder="1" applyAlignment="1" applyProtection="1">
      <alignment horizontal="center" vertical="center"/>
      <protection locked="0"/>
    </xf>
    <xf numFmtId="0" fontId="37" fillId="0" borderId="88" xfId="0" applyNumberFormat="1" applyFont="1" applyFill="1" applyBorder="1" applyAlignment="1" applyProtection="1">
      <alignment vertical="center"/>
      <protection locked="0"/>
    </xf>
    <xf numFmtId="0" fontId="4" fillId="0" borderId="8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Fill="1" applyAlignment="1">
      <alignment horizontal="center" vertical="center"/>
    </xf>
    <xf numFmtId="165" fontId="54" fillId="0" borderId="0" xfId="0" applyNumberFormat="1" applyFont="1" applyFill="1" applyAlignment="1" applyProtection="1">
      <alignment vertical="center"/>
      <protection locked="0"/>
    </xf>
    <xf numFmtId="0" fontId="54" fillId="0" borderId="87" xfId="0" applyNumberFormat="1" applyFont="1" applyFill="1" applyBorder="1" applyAlignment="1" applyProtection="1">
      <alignment vertical="center"/>
      <protection locked="0"/>
    </xf>
    <xf numFmtId="0" fontId="54" fillId="0" borderId="88" xfId="0" applyNumberFormat="1" applyFont="1" applyFill="1" applyBorder="1" applyAlignment="1" applyProtection="1">
      <alignment vertical="center" wrapText="1"/>
      <protection locked="0"/>
    </xf>
    <xf numFmtId="0" fontId="54" fillId="0" borderId="88" xfId="0" applyNumberFormat="1" applyFont="1" applyFill="1" applyBorder="1" applyAlignment="1" applyProtection="1">
      <alignment horizontal="center" vertical="center"/>
      <protection locked="0"/>
    </xf>
    <xf numFmtId="165" fontId="54" fillId="0" borderId="96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 applyFill="1" applyAlignment="1">
      <alignment vertical="center"/>
    </xf>
    <xf numFmtId="165" fontId="55" fillId="0" borderId="0" xfId="0" applyNumberFormat="1" applyFont="1" applyFill="1" applyAlignment="1" applyProtection="1">
      <alignment horizontal="center" vertical="center"/>
      <protection locked="0"/>
    </xf>
    <xf numFmtId="165" fontId="54" fillId="0" borderId="0" xfId="0" applyNumberFormat="1" applyFont="1" applyFill="1" applyAlignment="1" applyProtection="1">
      <alignment horizontal="center" vertical="center"/>
      <protection locked="0"/>
    </xf>
    <xf numFmtId="168" fontId="54" fillId="0" borderId="0" xfId="0" applyNumberFormat="1" applyFont="1" applyFill="1" applyAlignment="1" applyProtection="1">
      <alignment horizontal="center" vertical="center"/>
      <protection locked="0"/>
    </xf>
    <xf numFmtId="165" fontId="39" fillId="0" borderId="0" xfId="0" applyNumberFormat="1" applyFont="1" applyFill="1" applyAlignment="1" applyProtection="1">
      <alignment horizontal="center" vertical="center"/>
      <protection locked="0"/>
    </xf>
    <xf numFmtId="165" fontId="39" fillId="0" borderId="0" xfId="0" applyNumberFormat="1" applyFont="1" applyFill="1" applyAlignment="1" applyProtection="1">
      <alignment vertical="center"/>
      <protection locked="0"/>
    </xf>
    <xf numFmtId="165" fontId="55" fillId="0" borderId="0" xfId="0" applyNumberFormat="1" applyFont="1" applyFill="1" applyAlignment="1" applyProtection="1">
      <alignment vertical="center"/>
      <protection locked="0"/>
    </xf>
    <xf numFmtId="0" fontId="39" fillId="0" borderId="87" xfId="0" applyNumberFormat="1" applyFont="1" applyFill="1" applyBorder="1" applyAlignment="1" applyProtection="1">
      <alignment vertical="center"/>
      <protection locked="0"/>
    </xf>
    <xf numFmtId="0" fontId="39" fillId="0" borderId="88" xfId="0" applyNumberFormat="1" applyFont="1" applyFill="1" applyBorder="1" applyAlignment="1" applyProtection="1">
      <alignment vertical="center" wrapText="1"/>
      <protection locked="0"/>
    </xf>
    <xf numFmtId="0" fontId="39" fillId="0" borderId="88" xfId="0" applyNumberFormat="1" applyFont="1" applyFill="1" applyBorder="1" applyAlignment="1" applyProtection="1">
      <alignment horizontal="center" vertical="center"/>
      <protection locked="0"/>
    </xf>
    <xf numFmtId="165" fontId="39" fillId="0" borderId="96" xfId="0" applyNumberFormat="1" applyFont="1" applyFill="1" applyBorder="1" applyAlignment="1" applyProtection="1">
      <alignment horizontal="center" vertical="center"/>
      <protection locked="0"/>
    </xf>
    <xf numFmtId="165" fontId="40" fillId="0" borderId="0" xfId="0" applyNumberFormat="1" applyFont="1" applyFill="1" applyAlignment="1" applyProtection="1">
      <alignment horizontal="center" vertical="center"/>
      <protection locked="0"/>
    </xf>
    <xf numFmtId="0" fontId="4" fillId="0" borderId="88" xfId="0" applyNumberFormat="1" applyFont="1" applyFill="1" applyBorder="1" applyAlignment="1" applyProtection="1">
      <alignment vertical="center" wrapText="1"/>
      <protection locked="0"/>
    </xf>
    <xf numFmtId="165" fontId="40" fillId="0" borderId="0" xfId="0" applyNumberFormat="1" applyFont="1" applyFill="1" applyAlignment="1" applyProtection="1">
      <alignment vertical="center"/>
      <protection locked="0"/>
    </xf>
    <xf numFmtId="0" fontId="40" fillId="0" borderId="87" xfId="0" applyNumberFormat="1" applyFont="1" applyFill="1" applyBorder="1" applyAlignment="1" applyProtection="1">
      <alignment vertical="center"/>
      <protection locked="0"/>
    </xf>
    <xf numFmtId="0" fontId="52" fillId="0" borderId="88" xfId="0" applyNumberFormat="1" applyFont="1" applyFill="1" applyBorder="1" applyAlignment="1" applyProtection="1">
      <alignment vertical="center" wrapText="1"/>
      <protection locked="0"/>
    </xf>
    <xf numFmtId="0" fontId="40" fillId="0" borderId="88" xfId="0" applyNumberFormat="1" applyFont="1" applyFill="1" applyBorder="1" applyAlignment="1" applyProtection="1">
      <alignment horizontal="center" vertical="center"/>
      <protection locked="0"/>
    </xf>
    <xf numFmtId="0" fontId="40" fillId="0" borderId="88" xfId="0" applyNumberFormat="1" applyFont="1" applyFill="1" applyBorder="1" applyAlignment="1" applyProtection="1">
      <alignment vertical="center" wrapText="1"/>
      <protection locked="0"/>
    </xf>
    <xf numFmtId="165" fontId="35" fillId="0" borderId="0" xfId="0" applyNumberFormat="1" applyFont="1" applyFill="1" applyAlignment="1" applyProtection="1">
      <alignment horizontal="center" vertical="center"/>
      <protection locked="0"/>
    </xf>
    <xf numFmtId="165" fontId="36" fillId="0" borderId="0" xfId="0" applyNumberFormat="1" applyFont="1" applyFill="1" applyAlignment="1" applyProtection="1">
      <alignment horizontal="center" vertical="center"/>
      <protection locked="0"/>
    </xf>
    <xf numFmtId="0" fontId="1" fillId="0" borderId="87" xfId="0" applyNumberFormat="1" applyFont="1" applyFill="1" applyBorder="1" applyAlignment="1" applyProtection="1">
      <alignment vertical="center"/>
      <protection locked="0"/>
    </xf>
    <xf numFmtId="0" fontId="1" fillId="0" borderId="88" xfId="0" applyNumberFormat="1" applyFont="1" applyFill="1" applyBorder="1" applyAlignment="1" applyProtection="1">
      <alignment vertical="center" wrapText="1"/>
      <protection locked="0"/>
    </xf>
    <xf numFmtId="0" fontId="1" fillId="0" borderId="88" xfId="0" applyNumberFormat="1" applyFont="1" applyFill="1" applyBorder="1" applyAlignment="1" applyProtection="1">
      <alignment horizontal="center" vertical="center"/>
      <protection locked="0"/>
    </xf>
    <xf numFmtId="165" fontId="1" fillId="0" borderId="96" xfId="0" applyNumberFormat="1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4" fontId="8" fillId="0" borderId="21" xfId="0" applyNumberFormat="1" applyFont="1" applyFill="1" applyBorder="1" applyAlignment="1">
      <alignment horizontal="center" vertical="center"/>
    </xf>
    <xf numFmtId="4" fontId="8" fillId="0" borderId="22" xfId="0" applyNumberFormat="1" applyFont="1" applyFill="1" applyBorder="1" applyAlignment="1">
      <alignment horizontal="center" vertical="center"/>
    </xf>
    <xf numFmtId="4" fontId="8" fillId="0" borderId="23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left" vertical="center" wrapText="1"/>
    </xf>
    <xf numFmtId="4" fontId="9" fillId="0" borderId="25" xfId="0" applyNumberFormat="1" applyFont="1" applyFill="1" applyBorder="1" applyAlignment="1">
      <alignment horizontal="left" vertical="center" wrapText="1"/>
    </xf>
    <xf numFmtId="4" fontId="9" fillId="0" borderId="26" xfId="0" applyNumberFormat="1" applyFont="1" applyFill="1" applyBorder="1" applyAlignment="1">
      <alignment horizontal="left" vertical="center" wrapText="1"/>
    </xf>
    <xf numFmtId="1" fontId="46" fillId="0" borderId="15" xfId="3" applyNumberFormat="1" applyFont="1" applyFill="1" applyBorder="1" applyAlignment="1">
      <alignment horizontal="center" vertical="center" wrapText="1"/>
    </xf>
    <xf numFmtId="1" fontId="46" fillId="0" borderId="52" xfId="3" applyNumberFormat="1" applyFont="1" applyFill="1" applyBorder="1" applyAlignment="1">
      <alignment horizontal="center" vertical="center" wrapText="1"/>
    </xf>
    <xf numFmtId="1" fontId="46" fillId="0" borderId="58" xfId="3" applyNumberFormat="1" applyFont="1" applyFill="1" applyBorder="1" applyAlignment="1">
      <alignment horizontal="center" vertical="center" wrapText="1"/>
    </xf>
    <xf numFmtId="1" fontId="46" fillId="0" borderId="64" xfId="3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/>
    </xf>
    <xf numFmtId="0" fontId="45" fillId="0" borderId="14" xfId="3" applyFont="1" applyFill="1" applyBorder="1" applyAlignment="1">
      <alignment horizontal="center" vertical="center" wrapText="1"/>
    </xf>
    <xf numFmtId="0" fontId="45" fillId="0" borderId="87" xfId="3" applyFont="1" applyFill="1" applyBorder="1" applyAlignment="1">
      <alignment horizontal="center" vertical="center" wrapText="1"/>
    </xf>
    <xf numFmtId="0" fontId="45" fillId="0" borderId="16" xfId="3" applyFont="1" applyFill="1" applyBorder="1" applyAlignment="1">
      <alignment horizontal="center" vertical="center" wrapText="1"/>
    </xf>
    <xf numFmtId="0" fontId="45" fillId="0" borderId="15" xfId="3" applyFont="1" applyFill="1" applyBorder="1" applyAlignment="1">
      <alignment horizontal="center" vertical="center" wrapText="1"/>
    </xf>
    <xf numFmtId="0" fontId="45" fillId="0" borderId="88" xfId="3" applyFont="1" applyFill="1" applyBorder="1" applyAlignment="1">
      <alignment horizontal="center" vertical="center" wrapText="1"/>
    </xf>
    <xf numFmtId="0" fontId="45" fillId="0" borderId="89" xfId="3" applyFont="1" applyFill="1" applyBorder="1" applyAlignment="1">
      <alignment horizontal="center" vertical="center" wrapText="1"/>
    </xf>
    <xf numFmtId="1" fontId="45" fillId="0" borderId="52" xfId="3" applyNumberFormat="1" applyFont="1" applyFill="1" applyBorder="1" applyAlignment="1">
      <alignment horizontal="center" vertical="center" wrapText="1"/>
    </xf>
    <xf numFmtId="1" fontId="45" fillId="0" borderId="58" xfId="3" applyNumberFormat="1" applyFont="1" applyFill="1" applyBorder="1" applyAlignment="1">
      <alignment horizontal="center" vertical="center" wrapText="1"/>
    </xf>
    <xf numFmtId="1" fontId="46" fillId="0" borderId="15" xfId="3" applyNumberFormat="1" applyFont="1" applyFill="1" applyBorder="1" applyAlignment="1">
      <alignment horizontal="center" vertical="center"/>
    </xf>
    <xf numFmtId="1" fontId="46" fillId="0" borderId="86" xfId="3" applyNumberFormat="1" applyFont="1" applyFill="1" applyBorder="1" applyAlignment="1">
      <alignment horizontal="center" vertical="center"/>
    </xf>
    <xf numFmtId="1" fontId="46" fillId="0" borderId="90" xfId="3" applyNumberFormat="1" applyFont="1" applyFill="1" applyBorder="1" applyAlignment="1">
      <alignment horizontal="center" vertical="center" wrapText="1"/>
    </xf>
    <xf numFmtId="166" fontId="27" fillId="8" borderId="0" xfId="3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horizontal="center" vertical="center" wrapText="1"/>
    </xf>
    <xf numFmtId="0" fontId="19" fillId="0" borderId="52" xfId="3" applyFont="1" applyFill="1" applyBorder="1" applyAlignment="1">
      <alignment horizontal="center" vertical="center" wrapText="1"/>
    </xf>
    <xf numFmtId="0" fontId="19" fillId="5" borderId="51" xfId="3" applyFont="1" applyFill="1" applyBorder="1" applyAlignment="1">
      <alignment horizontal="center" vertical="center" wrapText="1"/>
    </xf>
    <xf numFmtId="0" fontId="19" fillId="5" borderId="43" xfId="3" applyFont="1" applyFill="1" applyBorder="1" applyAlignment="1">
      <alignment horizontal="center" vertical="center" wrapText="1"/>
    </xf>
    <xf numFmtId="0" fontId="19" fillId="5" borderId="38" xfId="3" applyFont="1" applyFill="1" applyBorder="1" applyAlignment="1">
      <alignment horizontal="center" vertical="center" wrapText="1"/>
    </xf>
    <xf numFmtId="0" fontId="19" fillId="4" borderId="37" xfId="3" applyFont="1" applyFill="1" applyBorder="1" applyAlignment="1">
      <alignment horizontal="center" vertical="center" wrapText="1"/>
    </xf>
    <xf numFmtId="0" fontId="19" fillId="4" borderId="43" xfId="3" applyFont="1" applyFill="1" applyBorder="1" applyAlignment="1">
      <alignment horizontal="center" vertical="center" wrapText="1"/>
    </xf>
    <xf numFmtId="0" fontId="19" fillId="4" borderId="38" xfId="3" applyFont="1" applyFill="1" applyBorder="1" applyAlignment="1">
      <alignment horizontal="center" vertical="center" wrapText="1"/>
    </xf>
    <xf numFmtId="0" fontId="19" fillId="2" borderId="37" xfId="3" applyFont="1" applyFill="1" applyBorder="1" applyAlignment="1">
      <alignment horizontal="center" vertical="center" wrapText="1"/>
    </xf>
    <xf numFmtId="0" fontId="19" fillId="2" borderId="43" xfId="3" applyFont="1" applyFill="1" applyBorder="1" applyAlignment="1">
      <alignment horizontal="center" vertical="center" wrapText="1"/>
    </xf>
    <xf numFmtId="0" fontId="19" fillId="2" borderId="38" xfId="3" applyFont="1" applyFill="1" applyBorder="1" applyAlignment="1">
      <alignment horizontal="center" vertical="center" wrapText="1"/>
    </xf>
    <xf numFmtId="0" fontId="22" fillId="5" borderId="58" xfId="3" applyFont="1" applyFill="1" applyBorder="1" applyAlignment="1">
      <alignment horizontal="center" vertical="center" wrapText="1"/>
    </xf>
    <xf numFmtId="4" fontId="22" fillId="0" borderId="74" xfId="3" applyNumberFormat="1" applyFont="1" applyFill="1" applyBorder="1" applyAlignment="1">
      <alignment horizontal="center" vertical="center"/>
    </xf>
    <xf numFmtId="4" fontId="22" fillId="0" borderId="3" xfId="3" applyNumberFormat="1" applyFont="1" applyFill="1" applyBorder="1" applyAlignment="1">
      <alignment horizontal="center" vertical="center"/>
    </xf>
    <xf numFmtId="4" fontId="22" fillId="0" borderId="75" xfId="3" applyNumberFormat="1" applyFont="1" applyFill="1" applyBorder="1" applyAlignment="1">
      <alignment horizontal="center" vertical="center"/>
    </xf>
    <xf numFmtId="49" fontId="20" fillId="0" borderId="55" xfId="3" applyNumberFormat="1" applyFont="1" applyFill="1" applyBorder="1" applyAlignment="1">
      <alignment horizontal="center" vertical="center" wrapText="1"/>
    </xf>
    <xf numFmtId="49" fontId="20" fillId="0" borderId="31" xfId="3" applyNumberFormat="1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center" vertical="center"/>
    </xf>
    <xf numFmtId="2" fontId="21" fillId="0" borderId="2" xfId="3" applyNumberFormat="1" applyFont="1" applyFill="1" applyBorder="1" applyAlignment="1">
      <alignment horizontal="center" vertical="center" wrapText="1"/>
    </xf>
    <xf numFmtId="2" fontId="21" fillId="0" borderId="1" xfId="3" applyNumberFormat="1" applyFont="1" applyFill="1" applyBorder="1" applyAlignment="1">
      <alignment horizontal="center" vertical="center" wrapText="1"/>
    </xf>
    <xf numFmtId="2" fontId="21" fillId="0" borderId="10" xfId="3" applyNumberFormat="1" applyFont="1" applyFill="1" applyBorder="1" applyAlignment="1">
      <alignment horizontal="center" vertical="center" wrapText="1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4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166" fontId="21" fillId="0" borderId="59" xfId="3" applyNumberFormat="1" applyFont="1" applyFill="1" applyBorder="1" applyAlignment="1">
      <alignment horizontal="center" vertical="center" wrapText="1"/>
    </xf>
    <xf numFmtId="166" fontId="21" fillId="0" borderId="60" xfId="3" applyNumberFormat="1" applyFont="1" applyFill="1" applyBorder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/>
    </xf>
    <xf numFmtId="49" fontId="20" fillId="0" borderId="56" xfId="3" applyNumberFormat="1" applyFont="1" applyFill="1" applyBorder="1" applyAlignment="1">
      <alignment horizontal="center" vertical="center" wrapText="1"/>
    </xf>
    <xf numFmtId="2" fontId="21" fillId="0" borderId="59" xfId="3" applyNumberFormat="1" applyFont="1" applyFill="1" applyBorder="1" applyAlignment="1">
      <alignment horizontal="center" vertical="center" wrapText="1"/>
    </xf>
    <xf numFmtId="2" fontId="21" fillId="0" borderId="60" xfId="3" applyNumberFormat="1" applyFont="1" applyFill="1" applyBorder="1" applyAlignment="1">
      <alignment horizontal="center" vertical="center" wrapText="1"/>
    </xf>
    <xf numFmtId="0" fontId="18" fillId="0" borderId="98" xfId="3" applyFont="1" applyFill="1" applyBorder="1" applyAlignment="1">
      <alignment horizontal="center" vertical="center" wrapText="1"/>
    </xf>
    <xf numFmtId="0" fontId="18" fillId="0" borderId="99" xfId="3" applyFont="1" applyFill="1" applyBorder="1" applyAlignment="1">
      <alignment horizontal="center" vertical="center" wrapText="1"/>
    </xf>
    <xf numFmtId="0" fontId="18" fillId="0" borderId="101" xfId="3" applyFont="1" applyFill="1" applyBorder="1" applyAlignment="1">
      <alignment horizontal="center" vertical="center" wrapText="1"/>
    </xf>
    <xf numFmtId="0" fontId="18" fillId="0" borderId="102" xfId="3" applyFont="1" applyFill="1" applyBorder="1" applyAlignment="1">
      <alignment horizontal="center" vertical="center" wrapText="1"/>
    </xf>
    <xf numFmtId="0" fontId="18" fillId="0" borderId="98" xfId="3" applyFont="1" applyFill="1" applyBorder="1" applyAlignment="1">
      <alignment horizontal="center" vertical="center"/>
    </xf>
    <xf numFmtId="0" fontId="18" fillId="0" borderId="99" xfId="3" applyFont="1" applyFill="1" applyBorder="1" applyAlignment="1">
      <alignment horizontal="center" vertical="center"/>
    </xf>
    <xf numFmtId="0" fontId="18" fillId="0" borderId="101" xfId="3" applyFont="1" applyFill="1" applyBorder="1" applyAlignment="1">
      <alignment horizontal="center" vertical="center"/>
    </xf>
    <xf numFmtId="0" fontId="18" fillId="0" borderId="102" xfId="3" applyFont="1" applyFill="1" applyBorder="1" applyAlignment="1">
      <alignment horizontal="center" vertical="center"/>
    </xf>
    <xf numFmtId="0" fontId="18" fillId="0" borderId="104" xfId="3" applyFont="1" applyFill="1" applyBorder="1" applyAlignment="1">
      <alignment horizontal="center" vertical="center"/>
    </xf>
    <xf numFmtId="0" fontId="18" fillId="0" borderId="105" xfId="3" applyFont="1" applyFill="1" applyBorder="1" applyAlignment="1">
      <alignment horizontal="center" vertical="center"/>
    </xf>
    <xf numFmtId="1" fontId="45" fillId="0" borderId="15" xfId="3" applyNumberFormat="1" applyFont="1" applyFill="1" applyBorder="1" applyAlignment="1">
      <alignment horizontal="center" vertical="center" wrapText="1"/>
    </xf>
    <xf numFmtId="4" fontId="8" fillId="0" borderId="74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75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</cellXfs>
  <cellStyles count="10">
    <cellStyle name="Millares" xfId="8" builtinId="3"/>
    <cellStyle name="Normal" xfId="0" builtinId="0"/>
    <cellStyle name="Normal 2" xfId="5"/>
    <cellStyle name="Normal 2 2" xfId="6"/>
    <cellStyle name="Normal 3" xfId="3"/>
    <cellStyle name="Normal 6" xfId="7"/>
    <cellStyle name="Normal_Hoja1" xfId="2"/>
    <cellStyle name="Normal_Hoja2" xfId="1"/>
    <cellStyle name="Porcentaje" xfId="9" builtinId="5"/>
    <cellStyle name="Porcentaje 2" xfId="4"/>
  </cellStyles>
  <dxfs count="16"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70</xdr:col>
      <xdr:colOff>142876</xdr:colOff>
      <xdr:row>13</xdr:row>
      <xdr:rowOff>23812</xdr:rowOff>
    </xdr:from>
    <xdr:to>
      <xdr:col>75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142876</xdr:colOff>
      <xdr:row>13</xdr:row>
      <xdr:rowOff>23812</xdr:rowOff>
    </xdr:from>
    <xdr:to>
      <xdr:col>73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93287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16325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191834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191832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yects_advance/06%20Cieneguilla%202043889/00%20METRADOS%20-%20FINALES/03%20Lineas%20y%20Redes%20de%20Agua%20Potable/01%20L&#237;neas/L&#237;neas%20de%20Conducci&#243;n%20-%20Impulsi&#243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Resúmen"/>
      <sheetName val="Resúmen Acc."/>
      <sheetName val="Accesorios"/>
      <sheetName val="LC   CD - CRP-1A"/>
      <sheetName val="LI   CRP1A-CRP1"/>
      <sheetName val="LI   CRP1-CRP2"/>
      <sheetName val="LI   CRP2-RP1"/>
      <sheetName val="LI   CRP2-RP2"/>
      <sheetName val="LI   RP2-RP3"/>
    </sheetNames>
    <sheetDataSet>
      <sheetData sheetId="0"/>
      <sheetData sheetId="1">
        <row r="5">
          <cell r="C5" t="str">
            <v>Fórmula: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66"/>
  <sheetViews>
    <sheetView showGridLines="0" view="pageBreakPreview" zoomScaleNormal="100" zoomScaleSheetLayoutView="100" workbookViewId="0">
      <selection activeCell="D31" sqref="D31"/>
    </sheetView>
  </sheetViews>
  <sheetFormatPr baseColWidth="10" defaultRowHeight="14.4"/>
  <cols>
    <col min="2" max="2" width="2" customWidth="1"/>
    <col min="4" max="4" width="62.5546875" customWidth="1"/>
    <col min="7" max="7" width="1.88671875" customWidth="1"/>
  </cols>
  <sheetData>
    <row r="2" spans="3:9" ht="9.75" customHeight="1" thickBot="1"/>
    <row r="3" spans="3:9" ht="25.5" customHeight="1">
      <c r="C3" s="707" t="s">
        <v>122</v>
      </c>
      <c r="D3" s="708"/>
      <c r="E3" s="708"/>
      <c r="F3" s="709"/>
    </row>
    <row r="4" spans="3:9" ht="47.25" customHeight="1">
      <c r="C4" s="12" t="s">
        <v>123</v>
      </c>
      <c r="D4" s="710" t="s">
        <v>124</v>
      </c>
      <c r="E4" s="711"/>
      <c r="F4" s="712"/>
      <c r="I4" s="2" t="str">
        <f>+D4</f>
        <v>"INSTALACION DE LOS SISTEMAS DE AGUA POTABLE Y ALCANTARILLADO PARA LOS PUEBLOS DE LA MARGEN DERECHA E IZQUIERDA DEL PRIMER SECTOR DE CIENEGUILLA-DISTRITO CIENEGUILLA"</v>
      </c>
    </row>
    <row r="5" spans="3:9" ht="24.75" customHeight="1">
      <c r="C5" s="13" t="s">
        <v>131</v>
      </c>
      <c r="D5" s="704" t="s">
        <v>115</v>
      </c>
      <c r="E5" s="705"/>
      <c r="F5" s="706"/>
      <c r="I5" s="2" t="str">
        <f t="shared" ref="I5:I8" si="0">+D5</f>
        <v>CONEXIONES DOMICILIARIAS DE AGUA POTABLE</v>
      </c>
    </row>
    <row r="6" spans="3:9" ht="24.75" customHeight="1">
      <c r="C6" s="13" t="s">
        <v>125</v>
      </c>
      <c r="D6" s="704" t="s">
        <v>126</v>
      </c>
      <c r="E6" s="705"/>
      <c r="F6" s="706"/>
      <c r="I6" s="2" t="str">
        <f t="shared" si="0"/>
        <v>SEDAPAL</v>
      </c>
    </row>
    <row r="7" spans="3:9" ht="24.75" customHeight="1">
      <c r="C7" s="13" t="s">
        <v>127</v>
      </c>
      <c r="D7" s="704" t="s">
        <v>128</v>
      </c>
      <c r="E7" s="705"/>
      <c r="F7" s="706"/>
      <c r="I7" s="2" t="str">
        <f t="shared" si="0"/>
        <v>CIENEGUILLA - CIENEGUILLA - LIMA</v>
      </c>
    </row>
    <row r="8" spans="3:9" ht="24.75" customHeight="1" thickBot="1">
      <c r="C8" s="14" t="s">
        <v>129</v>
      </c>
      <c r="D8" s="15" t="s">
        <v>130</v>
      </c>
      <c r="E8" s="16"/>
      <c r="F8" s="17"/>
      <c r="I8" s="2" t="str">
        <f t="shared" si="0"/>
        <v>Del CA-01 al CA-36</v>
      </c>
    </row>
    <row r="9" spans="3:9" ht="4.5" customHeight="1" thickBot="1">
      <c r="C9" s="18"/>
      <c r="D9" s="19"/>
      <c r="E9" s="20"/>
      <c r="F9" s="20"/>
    </row>
    <row r="10" spans="3:9" ht="23.25" customHeight="1" thickBot="1">
      <c r="C10" s="42" t="s">
        <v>0</v>
      </c>
      <c r="D10" s="43" t="s">
        <v>112</v>
      </c>
      <c r="E10" s="44" t="s">
        <v>113</v>
      </c>
      <c r="F10" s="45" t="s">
        <v>114</v>
      </c>
      <c r="G10" s="1"/>
    </row>
    <row r="11" spans="3:9">
      <c r="C11" s="21" t="s">
        <v>5</v>
      </c>
      <c r="D11" s="22" t="s">
        <v>6</v>
      </c>
      <c r="E11" s="23"/>
      <c r="F11" s="24"/>
      <c r="G11" s="3"/>
    </row>
    <row r="12" spans="3:9">
      <c r="C12" s="25" t="s">
        <v>7</v>
      </c>
      <c r="D12" s="26" t="s">
        <v>8</v>
      </c>
      <c r="E12" s="27"/>
      <c r="F12" s="28"/>
      <c r="G12" s="4"/>
    </row>
    <row r="13" spans="3:9">
      <c r="C13" s="29" t="s">
        <v>9</v>
      </c>
      <c r="D13" s="30" t="s">
        <v>10</v>
      </c>
      <c r="E13" s="31" t="s">
        <v>11</v>
      </c>
      <c r="F13" s="32" t="e">
        <f>+#REF!</f>
        <v>#REF!</v>
      </c>
      <c r="G13" s="5"/>
    </row>
    <row r="14" spans="3:9">
      <c r="C14" s="29" t="s">
        <v>12</v>
      </c>
      <c r="D14" s="30" t="s">
        <v>13</v>
      </c>
      <c r="E14" s="31" t="s">
        <v>11</v>
      </c>
      <c r="F14" s="32" t="e">
        <f>+F13</f>
        <v>#REF!</v>
      </c>
      <c r="G14" s="5"/>
    </row>
    <row r="15" spans="3:9">
      <c r="C15" s="29" t="s">
        <v>14</v>
      </c>
      <c r="D15" s="30" t="s">
        <v>15</v>
      </c>
      <c r="E15" s="31" t="s">
        <v>16</v>
      </c>
      <c r="F15" s="32" t="e">
        <f>+#REF!</f>
        <v>#REF!</v>
      </c>
      <c r="G15" s="5"/>
    </row>
    <row r="16" spans="3:9">
      <c r="C16" s="29" t="s">
        <v>17</v>
      </c>
      <c r="D16" s="30" t="s">
        <v>18</v>
      </c>
      <c r="E16" s="31" t="s">
        <v>16</v>
      </c>
      <c r="F16" s="32" t="e">
        <f>2*F15</f>
        <v>#REF!</v>
      </c>
      <c r="G16" s="5"/>
    </row>
    <row r="17" spans="3:7">
      <c r="C17" s="29" t="s">
        <v>19</v>
      </c>
      <c r="D17" s="30" t="s">
        <v>20</v>
      </c>
      <c r="E17" s="31" t="s">
        <v>16</v>
      </c>
      <c r="F17" s="32" t="e">
        <f>+#REF!</f>
        <v>#REF!</v>
      </c>
      <c r="G17" s="5"/>
    </row>
    <row r="18" spans="3:7">
      <c r="C18" s="29" t="s">
        <v>21</v>
      </c>
      <c r="D18" s="30" t="s">
        <v>22</v>
      </c>
      <c r="E18" s="31" t="s">
        <v>11</v>
      </c>
      <c r="F18" s="32" t="e">
        <f>+#REF!</f>
        <v>#REF!</v>
      </c>
      <c r="G18" s="5"/>
    </row>
    <row r="19" spans="3:7">
      <c r="C19" s="25" t="s">
        <v>23</v>
      </c>
      <c r="D19" s="26" t="s">
        <v>24</v>
      </c>
      <c r="E19" s="27"/>
      <c r="F19" s="28"/>
      <c r="G19" s="5"/>
    </row>
    <row r="20" spans="3:7">
      <c r="C20" s="29" t="s">
        <v>25</v>
      </c>
      <c r="D20" s="30" t="s">
        <v>26</v>
      </c>
      <c r="E20" s="31" t="s">
        <v>16</v>
      </c>
      <c r="F20" s="32" t="e">
        <f>+#REF!</f>
        <v>#REF!</v>
      </c>
      <c r="G20" s="5"/>
    </row>
    <row r="21" spans="3:7">
      <c r="C21" s="29" t="s">
        <v>27</v>
      </c>
      <c r="D21" s="30" t="s">
        <v>28</v>
      </c>
      <c r="E21" s="31" t="s">
        <v>16</v>
      </c>
      <c r="F21" s="32" t="e">
        <f>+#REF!</f>
        <v>#REF!</v>
      </c>
      <c r="G21" s="5"/>
    </row>
    <row r="22" spans="3:7">
      <c r="C22" s="29" t="s">
        <v>29</v>
      </c>
      <c r="D22" s="30" t="s">
        <v>30</v>
      </c>
      <c r="E22" s="31" t="s">
        <v>16</v>
      </c>
      <c r="F22" s="32" t="e">
        <f>+#REF!</f>
        <v>#REF!</v>
      </c>
      <c r="G22" s="5"/>
    </row>
    <row r="23" spans="3:7">
      <c r="C23" s="29" t="s">
        <v>31</v>
      </c>
      <c r="D23" s="30" t="s">
        <v>32</v>
      </c>
      <c r="E23" s="31" t="s">
        <v>16</v>
      </c>
      <c r="F23" s="32" t="e">
        <f t="shared" ref="F23:F28" si="1">+F20</f>
        <v>#REF!</v>
      </c>
      <c r="G23" s="5"/>
    </row>
    <row r="24" spans="3:7">
      <c r="C24" s="29" t="s">
        <v>33</v>
      </c>
      <c r="D24" s="30" t="s">
        <v>34</v>
      </c>
      <c r="E24" s="31" t="s">
        <v>16</v>
      </c>
      <c r="F24" s="32" t="e">
        <f t="shared" si="1"/>
        <v>#REF!</v>
      </c>
      <c r="G24" s="5"/>
    </row>
    <row r="25" spans="3:7">
      <c r="C25" s="29" t="s">
        <v>35</v>
      </c>
      <c r="D25" s="30" t="s">
        <v>36</v>
      </c>
      <c r="E25" s="31" t="s">
        <v>16</v>
      </c>
      <c r="F25" s="32" t="e">
        <f t="shared" si="1"/>
        <v>#REF!</v>
      </c>
      <c r="G25" s="5"/>
    </row>
    <row r="26" spans="3:7">
      <c r="C26" s="29" t="s">
        <v>37</v>
      </c>
      <c r="D26" s="30" t="s">
        <v>38</v>
      </c>
      <c r="E26" s="31" t="s">
        <v>16</v>
      </c>
      <c r="F26" s="32" t="e">
        <f t="shared" si="1"/>
        <v>#REF!</v>
      </c>
      <c r="G26" s="5"/>
    </row>
    <row r="27" spans="3:7">
      <c r="C27" s="29" t="s">
        <v>39</v>
      </c>
      <c r="D27" s="30" t="s">
        <v>40</v>
      </c>
      <c r="E27" s="31" t="s">
        <v>16</v>
      </c>
      <c r="F27" s="32" t="e">
        <f t="shared" si="1"/>
        <v>#REF!</v>
      </c>
      <c r="G27" s="5"/>
    </row>
    <row r="28" spans="3:7">
      <c r="C28" s="29" t="s">
        <v>41</v>
      </c>
      <c r="D28" s="30" t="s">
        <v>42</v>
      </c>
      <c r="E28" s="31" t="s">
        <v>16</v>
      </c>
      <c r="F28" s="32" t="e">
        <f t="shared" si="1"/>
        <v>#REF!</v>
      </c>
      <c r="G28" s="5"/>
    </row>
    <row r="29" spans="3:7">
      <c r="C29" s="29" t="s">
        <v>43</v>
      </c>
      <c r="D29" s="30" t="s">
        <v>121</v>
      </c>
      <c r="E29" s="31" t="s">
        <v>16</v>
      </c>
      <c r="F29" s="32">
        <v>20564</v>
      </c>
      <c r="G29" s="5"/>
    </row>
    <row r="30" spans="3:7">
      <c r="C30" s="29" t="s">
        <v>44</v>
      </c>
      <c r="D30" s="30" t="s">
        <v>45</v>
      </c>
      <c r="E30" s="31" t="s">
        <v>16</v>
      </c>
      <c r="F30" s="32" t="e">
        <f>+F20</f>
        <v>#REF!</v>
      </c>
      <c r="G30" s="5"/>
    </row>
    <row r="31" spans="3:7">
      <c r="C31" s="29" t="s">
        <v>46</v>
      </c>
      <c r="D31" s="30" t="s">
        <v>47</v>
      </c>
      <c r="E31" s="31" t="s">
        <v>16</v>
      </c>
      <c r="F31" s="32" t="e">
        <f>+F21</f>
        <v>#REF!</v>
      </c>
      <c r="G31" s="5"/>
    </row>
    <row r="32" spans="3:7">
      <c r="C32" s="29" t="s">
        <v>48</v>
      </c>
      <c r="D32" s="30" t="s">
        <v>49</v>
      </c>
      <c r="E32" s="31" t="s">
        <v>16</v>
      </c>
      <c r="F32" s="32" t="e">
        <f>+F22</f>
        <v>#REF!</v>
      </c>
      <c r="G32" s="5"/>
    </row>
    <row r="33" spans="3:7">
      <c r="C33" s="29" t="s">
        <v>50</v>
      </c>
      <c r="D33" s="30" t="s">
        <v>51</v>
      </c>
      <c r="E33" s="31" t="s">
        <v>11</v>
      </c>
      <c r="F33" s="32" t="e">
        <f>+ROUND(F15/50,0)</f>
        <v>#REF!</v>
      </c>
      <c r="G33" s="5"/>
    </row>
    <row r="34" spans="3:7">
      <c r="C34" s="25" t="s">
        <v>52</v>
      </c>
      <c r="D34" s="26" t="s">
        <v>53</v>
      </c>
      <c r="E34" s="27"/>
      <c r="F34" s="28"/>
      <c r="G34" s="5"/>
    </row>
    <row r="35" spans="3:7">
      <c r="C35" s="29" t="s">
        <v>54</v>
      </c>
      <c r="D35" s="30" t="s">
        <v>55</v>
      </c>
      <c r="E35" s="31" t="s">
        <v>16</v>
      </c>
      <c r="F35" s="32" t="e">
        <f>+#REF!</f>
        <v>#REF!</v>
      </c>
      <c r="G35" s="5"/>
    </row>
    <row r="36" spans="3:7">
      <c r="C36" s="29" t="s">
        <v>56</v>
      </c>
      <c r="D36" s="30" t="s">
        <v>57</v>
      </c>
      <c r="E36" s="31" t="s">
        <v>16</v>
      </c>
      <c r="F36" s="32" t="e">
        <f>0.3*F13</f>
        <v>#REF!</v>
      </c>
      <c r="G36" s="5"/>
    </row>
    <row r="37" spans="3:7">
      <c r="C37" s="29" t="s">
        <v>58</v>
      </c>
      <c r="D37" s="30" t="s">
        <v>59</v>
      </c>
      <c r="E37" s="31" t="s">
        <v>16</v>
      </c>
      <c r="F37" s="32" t="e">
        <f>+#REF!</f>
        <v>#REF!</v>
      </c>
      <c r="G37" s="5"/>
    </row>
    <row r="38" spans="3:7">
      <c r="C38" s="29" t="s">
        <v>60</v>
      </c>
      <c r="D38" s="30" t="s">
        <v>61</v>
      </c>
      <c r="E38" s="31" t="s">
        <v>16</v>
      </c>
      <c r="F38" s="32" t="e">
        <f>+#REF!</f>
        <v>#REF!</v>
      </c>
      <c r="G38" s="5"/>
    </row>
    <row r="39" spans="3:7">
      <c r="C39" s="29" t="s">
        <v>62</v>
      </c>
      <c r="D39" s="30" t="s">
        <v>63</v>
      </c>
      <c r="E39" s="31" t="s">
        <v>16</v>
      </c>
      <c r="F39" s="32" t="e">
        <f>+#REF!</f>
        <v>#REF!</v>
      </c>
      <c r="G39" s="5"/>
    </row>
    <row r="40" spans="3:7">
      <c r="C40" s="29" t="s">
        <v>64</v>
      </c>
      <c r="D40" s="30" t="s">
        <v>65</v>
      </c>
      <c r="E40" s="31" t="s">
        <v>16</v>
      </c>
      <c r="F40" s="32" t="e">
        <f>+#REF!</f>
        <v>#REF!</v>
      </c>
      <c r="G40" s="5"/>
    </row>
    <row r="41" spans="3:7">
      <c r="C41" s="29" t="s">
        <v>66</v>
      </c>
      <c r="D41" s="30" t="s">
        <v>67</v>
      </c>
      <c r="E41" s="31" t="s">
        <v>16</v>
      </c>
      <c r="F41" s="32" t="e">
        <f>+#REF!</f>
        <v>#REF!</v>
      </c>
      <c r="G41" s="5"/>
    </row>
    <row r="42" spans="3:7">
      <c r="C42" s="25" t="s">
        <v>68</v>
      </c>
      <c r="D42" s="26" t="s">
        <v>69</v>
      </c>
      <c r="E42" s="27"/>
      <c r="F42" s="28"/>
      <c r="G42" s="5"/>
    </row>
    <row r="43" spans="3:7">
      <c r="C43" s="29" t="s">
        <v>70</v>
      </c>
      <c r="D43" s="30" t="s">
        <v>71</v>
      </c>
      <c r="E43" s="31" t="s">
        <v>11</v>
      </c>
      <c r="F43" s="32" t="e">
        <f>+#REF!</f>
        <v>#REF!</v>
      </c>
      <c r="G43" s="5"/>
    </row>
    <row r="44" spans="3:7">
      <c r="C44" s="29" t="s">
        <v>72</v>
      </c>
      <c r="D44" s="30" t="s">
        <v>73</v>
      </c>
      <c r="E44" s="31" t="s">
        <v>11</v>
      </c>
      <c r="F44" s="32" t="e">
        <f>+#REF!</f>
        <v>#REF!</v>
      </c>
      <c r="G44" s="5"/>
    </row>
    <row r="45" spans="3:7">
      <c r="C45" s="29" t="s">
        <v>74</v>
      </c>
      <c r="D45" s="30" t="s">
        <v>75</v>
      </c>
      <c r="E45" s="31" t="s">
        <v>11</v>
      </c>
      <c r="F45" s="32" t="e">
        <f>+#REF!</f>
        <v>#REF!</v>
      </c>
      <c r="G45" s="5"/>
    </row>
    <row r="46" spans="3:7">
      <c r="C46" s="29" t="s">
        <v>76</v>
      </c>
      <c r="D46" s="30" t="s">
        <v>77</v>
      </c>
      <c r="E46" s="31" t="s">
        <v>11</v>
      </c>
      <c r="F46" s="32" t="e">
        <f>+#REF!</f>
        <v>#REF!</v>
      </c>
      <c r="G46" s="5"/>
    </row>
    <row r="47" spans="3:7">
      <c r="C47" s="29" t="s">
        <v>78</v>
      </c>
      <c r="D47" s="30" t="s">
        <v>79</v>
      </c>
      <c r="E47" s="31" t="s">
        <v>11</v>
      </c>
      <c r="F47" s="32" t="e">
        <f>+#REF!</f>
        <v>#REF!</v>
      </c>
      <c r="G47" s="5"/>
    </row>
    <row r="48" spans="3:7">
      <c r="C48" s="29" t="s">
        <v>80</v>
      </c>
      <c r="D48" s="30" t="s">
        <v>81</v>
      </c>
      <c r="E48" s="31" t="s">
        <v>11</v>
      </c>
      <c r="F48" s="32" t="e">
        <f>+F43</f>
        <v>#REF!</v>
      </c>
      <c r="G48" s="5"/>
    </row>
    <row r="49" spans="3:7">
      <c r="C49" s="29" t="s">
        <v>82</v>
      </c>
      <c r="D49" s="30" t="s">
        <v>83</v>
      </c>
      <c r="E49" s="31" t="s">
        <v>11</v>
      </c>
      <c r="F49" s="32" t="e">
        <f>+F43</f>
        <v>#REF!</v>
      </c>
      <c r="G49" s="5"/>
    </row>
    <row r="50" spans="3:7">
      <c r="C50" s="29" t="s">
        <v>84</v>
      </c>
      <c r="D50" s="30" t="s">
        <v>85</v>
      </c>
      <c r="E50" s="31" t="s">
        <v>11</v>
      </c>
      <c r="F50" s="32" t="e">
        <f>+F43</f>
        <v>#REF!</v>
      </c>
      <c r="G50" s="5"/>
    </row>
    <row r="51" spans="3:7">
      <c r="C51" s="29" t="s">
        <v>86</v>
      </c>
      <c r="D51" s="30" t="s">
        <v>87</v>
      </c>
      <c r="E51" s="31" t="s">
        <v>11</v>
      </c>
      <c r="F51" s="32" t="e">
        <f>+F43</f>
        <v>#REF!</v>
      </c>
      <c r="G51" s="5"/>
    </row>
    <row r="52" spans="3:7">
      <c r="C52" s="29" t="s">
        <v>88</v>
      </c>
      <c r="D52" s="30" t="s">
        <v>89</v>
      </c>
      <c r="E52" s="31" t="s">
        <v>11</v>
      </c>
      <c r="F52" s="32" t="e">
        <f>+F43</f>
        <v>#REF!</v>
      </c>
      <c r="G52" s="5"/>
    </row>
    <row r="53" spans="3:7">
      <c r="C53" s="29" t="s">
        <v>90</v>
      </c>
      <c r="D53" s="30" t="s">
        <v>91</v>
      </c>
      <c r="E53" s="31" t="s">
        <v>11</v>
      </c>
      <c r="F53" s="32" t="e">
        <f>+#REF!</f>
        <v>#REF!</v>
      </c>
      <c r="G53" s="5"/>
    </row>
    <row r="54" spans="3:7">
      <c r="C54" s="29" t="s">
        <v>92</v>
      </c>
      <c r="D54" s="30" t="s">
        <v>93</v>
      </c>
      <c r="E54" s="31" t="s">
        <v>11</v>
      </c>
      <c r="F54" s="32" t="e">
        <f>+#REF!</f>
        <v>#REF!</v>
      </c>
      <c r="G54" s="5"/>
    </row>
    <row r="55" spans="3:7">
      <c r="C55" s="29" t="s">
        <v>94</v>
      </c>
      <c r="D55" s="30" t="s">
        <v>95</v>
      </c>
      <c r="E55" s="31" t="s">
        <v>11</v>
      </c>
      <c r="F55" s="32" t="e">
        <f>+#REF!</f>
        <v>#REF!</v>
      </c>
      <c r="G55" s="5"/>
    </row>
    <row r="56" spans="3:7">
      <c r="C56" s="25" t="s">
        <v>96</v>
      </c>
      <c r="D56" s="26" t="s">
        <v>97</v>
      </c>
      <c r="E56" s="27"/>
      <c r="F56" s="28"/>
      <c r="G56" s="5"/>
    </row>
    <row r="57" spans="3:7">
      <c r="C57" s="29" t="s">
        <v>98</v>
      </c>
      <c r="D57" s="30" t="s">
        <v>99</v>
      </c>
      <c r="E57" s="31" t="s">
        <v>11</v>
      </c>
      <c r="F57" s="32" t="e">
        <f>+F43</f>
        <v>#REF!</v>
      </c>
      <c r="G57" s="5"/>
    </row>
    <row r="58" spans="3:7" ht="20.399999999999999">
      <c r="C58" s="29" t="s">
        <v>100</v>
      </c>
      <c r="D58" s="33" t="s">
        <v>101</v>
      </c>
      <c r="E58" s="31" t="s">
        <v>11</v>
      </c>
      <c r="F58" s="32" t="e">
        <f>+F44</f>
        <v>#REF!</v>
      </c>
      <c r="G58" s="5"/>
    </row>
    <row r="59" spans="3:7">
      <c r="C59" s="29" t="s">
        <v>102</v>
      </c>
      <c r="D59" s="30" t="s">
        <v>103</v>
      </c>
      <c r="E59" s="31" t="s">
        <v>11</v>
      </c>
      <c r="F59" s="32" t="e">
        <f>+F43</f>
        <v>#REF!</v>
      </c>
      <c r="G59" s="5"/>
    </row>
    <row r="60" spans="3:7">
      <c r="C60" s="25" t="s">
        <v>118</v>
      </c>
      <c r="D60" s="26" t="s">
        <v>116</v>
      </c>
      <c r="E60" s="31"/>
      <c r="F60" s="32"/>
      <c r="G60" s="5"/>
    </row>
    <row r="61" spans="3:7">
      <c r="C61" s="29" t="s">
        <v>119</v>
      </c>
      <c r="D61" s="30" t="s">
        <v>117</v>
      </c>
      <c r="E61" s="31" t="s">
        <v>120</v>
      </c>
      <c r="F61" s="32" t="e">
        <f>+#REF!</f>
        <v>#REF!</v>
      </c>
      <c r="G61" s="5"/>
    </row>
    <row r="62" spans="3:7">
      <c r="C62" s="34">
        <v>5.04</v>
      </c>
      <c r="D62" s="35" t="s">
        <v>104</v>
      </c>
      <c r="E62" s="36"/>
      <c r="F62" s="37"/>
      <c r="G62" s="5"/>
    </row>
    <row r="63" spans="3:7">
      <c r="C63" s="29" t="s">
        <v>105</v>
      </c>
      <c r="D63" s="30" t="s">
        <v>106</v>
      </c>
      <c r="E63" s="31" t="s">
        <v>11</v>
      </c>
      <c r="F63" s="32" t="e">
        <f>+F43</f>
        <v>#REF!</v>
      </c>
      <c r="G63" s="5"/>
    </row>
    <row r="64" spans="3:7" ht="20.399999999999999">
      <c r="C64" s="29" t="s">
        <v>107</v>
      </c>
      <c r="D64" s="33" t="s">
        <v>108</v>
      </c>
      <c r="E64" s="31" t="s">
        <v>11</v>
      </c>
      <c r="F64" s="32">
        <v>200</v>
      </c>
      <c r="G64" s="5"/>
    </row>
    <row r="65" spans="3:7" ht="21" thickBot="1">
      <c r="C65" s="38" t="s">
        <v>109</v>
      </c>
      <c r="D65" s="39" t="s">
        <v>110</v>
      </c>
      <c r="E65" s="40" t="s">
        <v>111</v>
      </c>
      <c r="F65" s="41">
        <v>1</v>
      </c>
      <c r="G65" s="5"/>
    </row>
    <row r="66" spans="3:7" ht="9" customHeight="1">
      <c r="E66" s="1"/>
      <c r="F66" s="1"/>
      <c r="G66" s="1"/>
    </row>
  </sheetData>
  <customSheetViews>
    <customSheetView guid="{E3668F7A-83C2-45EF-92AE-FEC5F071E70A}" showPageBreaks="1" showGridLines="0" printArea="1" view="pageBreakPreview">
      <selection activeCell="I4" sqref="I4"/>
      <pageMargins left="0.51181102362204722" right="0.51181102362204722" top="0.35433070866141736" bottom="0.35433070866141736" header="0.31496062992125984" footer="0.31496062992125984"/>
      <printOptions horizontalCentered="1"/>
      <pageSetup paperSize="9" scale="76" orientation="portrait" r:id="rId1"/>
    </customSheetView>
  </customSheetViews>
  <mergeCells count="5">
    <mergeCell ref="D6:F6"/>
    <mergeCell ref="D7:F7"/>
    <mergeCell ref="C3:F3"/>
    <mergeCell ref="D4:F4"/>
    <mergeCell ref="D5:F5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76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C2:BM126"/>
  <sheetViews>
    <sheetView showGridLines="0" showZeros="0" view="pageBreakPreview" zoomScaleNormal="100" zoomScaleSheetLayoutView="100" workbookViewId="0">
      <selection activeCell="M75" sqref="M75"/>
    </sheetView>
  </sheetViews>
  <sheetFormatPr baseColWidth="10" defaultColWidth="5" defaultRowHeight="13.2"/>
  <cols>
    <col min="1" max="1" width="4" style="384" customWidth="1"/>
    <col min="2" max="2" width="2.44140625" style="384" customWidth="1"/>
    <col min="3" max="3" width="14.88671875" style="491" customWidth="1"/>
    <col min="4" max="5" width="3.6640625" style="491" hidden="1" customWidth="1"/>
    <col min="6" max="6" width="7" style="491" hidden="1" customWidth="1"/>
    <col min="7" max="7" width="10.6640625" style="570" customWidth="1"/>
    <col min="8" max="8" width="9.6640625" style="493" customWidth="1"/>
    <col min="9" max="9" width="9.6640625" style="491" customWidth="1"/>
    <col min="10" max="10" width="9.6640625" style="494" customWidth="1"/>
    <col min="11" max="11" width="6.5546875" style="491" customWidth="1"/>
    <col min="12" max="13" width="5.44140625" style="491" customWidth="1"/>
    <col min="14" max="14" width="5.44140625" style="495" customWidth="1"/>
    <col min="15" max="16" width="5.44140625" style="491" customWidth="1"/>
    <col min="17" max="20" width="5.44140625" style="496" customWidth="1"/>
    <col min="21" max="23" width="5.44140625" style="493" customWidth="1"/>
    <col min="24" max="25" width="5.44140625" style="491" customWidth="1"/>
    <col min="26" max="28" width="5.33203125" style="384" customWidth="1"/>
    <col min="29" max="41" width="5" style="384" customWidth="1"/>
    <col min="42" max="59" width="5" style="384" hidden="1" customWidth="1"/>
    <col min="60" max="65" width="5" style="384" customWidth="1"/>
    <col min="66" max="66" width="2" style="384" customWidth="1"/>
    <col min="67" max="268" width="5" style="384"/>
    <col min="269" max="269" width="4" style="384" customWidth="1"/>
    <col min="270" max="270" width="2.44140625" style="384" customWidth="1"/>
    <col min="271" max="271" width="14.88671875" style="384" customWidth="1"/>
    <col min="272" max="273" width="3.6640625" style="384" customWidth="1"/>
    <col min="274" max="274" width="0" style="384" hidden="1" customWidth="1"/>
    <col min="275" max="275" width="17.88671875" style="384" customWidth="1"/>
    <col min="276" max="278" width="9.6640625" style="384" customWidth="1"/>
    <col min="279" max="279" width="6.5546875" style="384" customWidth="1"/>
    <col min="280" max="293" width="5.44140625" style="384" customWidth="1"/>
    <col min="294" max="296" width="5.33203125" style="384" customWidth="1"/>
    <col min="297" max="321" width="5" style="384" customWidth="1"/>
    <col min="322" max="322" width="2" style="384" customWidth="1"/>
    <col min="323" max="524" width="5" style="384"/>
    <col min="525" max="525" width="4" style="384" customWidth="1"/>
    <col min="526" max="526" width="2.44140625" style="384" customWidth="1"/>
    <col min="527" max="527" width="14.88671875" style="384" customWidth="1"/>
    <col min="528" max="529" width="3.6640625" style="384" customWidth="1"/>
    <col min="530" max="530" width="0" style="384" hidden="1" customWidth="1"/>
    <col min="531" max="531" width="17.88671875" style="384" customWidth="1"/>
    <col min="532" max="534" width="9.6640625" style="384" customWidth="1"/>
    <col min="535" max="535" width="6.5546875" style="384" customWidth="1"/>
    <col min="536" max="549" width="5.44140625" style="384" customWidth="1"/>
    <col min="550" max="552" width="5.33203125" style="384" customWidth="1"/>
    <col min="553" max="577" width="5" style="384" customWidth="1"/>
    <col min="578" max="578" width="2" style="384" customWidth="1"/>
    <col min="579" max="780" width="5" style="384"/>
    <col min="781" max="781" width="4" style="384" customWidth="1"/>
    <col min="782" max="782" width="2.44140625" style="384" customWidth="1"/>
    <col min="783" max="783" width="14.88671875" style="384" customWidth="1"/>
    <col min="784" max="785" width="3.6640625" style="384" customWidth="1"/>
    <col min="786" max="786" width="0" style="384" hidden="1" customWidth="1"/>
    <col min="787" max="787" width="17.88671875" style="384" customWidth="1"/>
    <col min="788" max="790" width="9.6640625" style="384" customWidth="1"/>
    <col min="791" max="791" width="6.5546875" style="384" customWidth="1"/>
    <col min="792" max="805" width="5.44140625" style="384" customWidth="1"/>
    <col min="806" max="808" width="5.33203125" style="384" customWidth="1"/>
    <col min="809" max="833" width="5" style="384" customWidth="1"/>
    <col min="834" max="834" width="2" style="384" customWidth="1"/>
    <col min="835" max="1036" width="5" style="384"/>
    <col min="1037" max="1037" width="4" style="384" customWidth="1"/>
    <col min="1038" max="1038" width="2.44140625" style="384" customWidth="1"/>
    <col min="1039" max="1039" width="14.88671875" style="384" customWidth="1"/>
    <col min="1040" max="1041" width="3.6640625" style="384" customWidth="1"/>
    <col min="1042" max="1042" width="0" style="384" hidden="1" customWidth="1"/>
    <col min="1043" max="1043" width="17.88671875" style="384" customWidth="1"/>
    <col min="1044" max="1046" width="9.6640625" style="384" customWidth="1"/>
    <col min="1047" max="1047" width="6.5546875" style="384" customWidth="1"/>
    <col min="1048" max="1061" width="5.44140625" style="384" customWidth="1"/>
    <col min="1062" max="1064" width="5.33203125" style="384" customWidth="1"/>
    <col min="1065" max="1089" width="5" style="384" customWidth="1"/>
    <col min="1090" max="1090" width="2" style="384" customWidth="1"/>
    <col min="1091" max="1292" width="5" style="384"/>
    <col min="1293" max="1293" width="4" style="384" customWidth="1"/>
    <col min="1294" max="1294" width="2.44140625" style="384" customWidth="1"/>
    <col min="1295" max="1295" width="14.88671875" style="384" customWidth="1"/>
    <col min="1296" max="1297" width="3.6640625" style="384" customWidth="1"/>
    <col min="1298" max="1298" width="0" style="384" hidden="1" customWidth="1"/>
    <col min="1299" max="1299" width="17.88671875" style="384" customWidth="1"/>
    <col min="1300" max="1302" width="9.6640625" style="384" customWidth="1"/>
    <col min="1303" max="1303" width="6.5546875" style="384" customWidth="1"/>
    <col min="1304" max="1317" width="5.44140625" style="384" customWidth="1"/>
    <col min="1318" max="1320" width="5.33203125" style="384" customWidth="1"/>
    <col min="1321" max="1345" width="5" style="384" customWidth="1"/>
    <col min="1346" max="1346" width="2" style="384" customWidth="1"/>
    <col min="1347" max="1548" width="5" style="384"/>
    <col min="1549" max="1549" width="4" style="384" customWidth="1"/>
    <col min="1550" max="1550" width="2.44140625" style="384" customWidth="1"/>
    <col min="1551" max="1551" width="14.88671875" style="384" customWidth="1"/>
    <col min="1552" max="1553" width="3.6640625" style="384" customWidth="1"/>
    <col min="1554" max="1554" width="0" style="384" hidden="1" customWidth="1"/>
    <col min="1555" max="1555" width="17.88671875" style="384" customWidth="1"/>
    <col min="1556" max="1558" width="9.6640625" style="384" customWidth="1"/>
    <col min="1559" max="1559" width="6.5546875" style="384" customWidth="1"/>
    <col min="1560" max="1573" width="5.44140625" style="384" customWidth="1"/>
    <col min="1574" max="1576" width="5.33203125" style="384" customWidth="1"/>
    <col min="1577" max="1601" width="5" style="384" customWidth="1"/>
    <col min="1602" max="1602" width="2" style="384" customWidth="1"/>
    <col min="1603" max="1804" width="5" style="384"/>
    <col min="1805" max="1805" width="4" style="384" customWidth="1"/>
    <col min="1806" max="1806" width="2.44140625" style="384" customWidth="1"/>
    <col min="1807" max="1807" width="14.88671875" style="384" customWidth="1"/>
    <col min="1808" max="1809" width="3.6640625" style="384" customWidth="1"/>
    <col min="1810" max="1810" width="0" style="384" hidden="1" customWidth="1"/>
    <col min="1811" max="1811" width="17.88671875" style="384" customWidth="1"/>
    <col min="1812" max="1814" width="9.6640625" style="384" customWidth="1"/>
    <col min="1815" max="1815" width="6.5546875" style="384" customWidth="1"/>
    <col min="1816" max="1829" width="5.44140625" style="384" customWidth="1"/>
    <col min="1830" max="1832" width="5.33203125" style="384" customWidth="1"/>
    <col min="1833" max="1857" width="5" style="384" customWidth="1"/>
    <col min="1858" max="1858" width="2" style="384" customWidth="1"/>
    <col min="1859" max="2060" width="5" style="384"/>
    <col min="2061" max="2061" width="4" style="384" customWidth="1"/>
    <col min="2062" max="2062" width="2.44140625" style="384" customWidth="1"/>
    <col min="2063" max="2063" width="14.88671875" style="384" customWidth="1"/>
    <col min="2064" max="2065" width="3.6640625" style="384" customWidth="1"/>
    <col min="2066" max="2066" width="0" style="384" hidden="1" customWidth="1"/>
    <col min="2067" max="2067" width="17.88671875" style="384" customWidth="1"/>
    <col min="2068" max="2070" width="9.6640625" style="384" customWidth="1"/>
    <col min="2071" max="2071" width="6.5546875" style="384" customWidth="1"/>
    <col min="2072" max="2085" width="5.44140625" style="384" customWidth="1"/>
    <col min="2086" max="2088" width="5.33203125" style="384" customWidth="1"/>
    <col min="2089" max="2113" width="5" style="384" customWidth="1"/>
    <col min="2114" max="2114" width="2" style="384" customWidth="1"/>
    <col min="2115" max="2316" width="5" style="384"/>
    <col min="2317" max="2317" width="4" style="384" customWidth="1"/>
    <col min="2318" max="2318" width="2.44140625" style="384" customWidth="1"/>
    <col min="2319" max="2319" width="14.88671875" style="384" customWidth="1"/>
    <col min="2320" max="2321" width="3.6640625" style="384" customWidth="1"/>
    <col min="2322" max="2322" width="0" style="384" hidden="1" customWidth="1"/>
    <col min="2323" max="2323" width="17.88671875" style="384" customWidth="1"/>
    <col min="2324" max="2326" width="9.6640625" style="384" customWidth="1"/>
    <col min="2327" max="2327" width="6.5546875" style="384" customWidth="1"/>
    <col min="2328" max="2341" width="5.44140625" style="384" customWidth="1"/>
    <col min="2342" max="2344" width="5.33203125" style="384" customWidth="1"/>
    <col min="2345" max="2369" width="5" style="384" customWidth="1"/>
    <col min="2370" max="2370" width="2" style="384" customWidth="1"/>
    <col min="2371" max="2572" width="5" style="384"/>
    <col min="2573" max="2573" width="4" style="384" customWidth="1"/>
    <col min="2574" max="2574" width="2.44140625" style="384" customWidth="1"/>
    <col min="2575" max="2575" width="14.88671875" style="384" customWidth="1"/>
    <col min="2576" max="2577" width="3.6640625" style="384" customWidth="1"/>
    <col min="2578" max="2578" width="0" style="384" hidden="1" customWidth="1"/>
    <col min="2579" max="2579" width="17.88671875" style="384" customWidth="1"/>
    <col min="2580" max="2582" width="9.6640625" style="384" customWidth="1"/>
    <col min="2583" max="2583" width="6.5546875" style="384" customWidth="1"/>
    <col min="2584" max="2597" width="5.44140625" style="384" customWidth="1"/>
    <col min="2598" max="2600" width="5.33203125" style="384" customWidth="1"/>
    <col min="2601" max="2625" width="5" style="384" customWidth="1"/>
    <col min="2626" max="2626" width="2" style="384" customWidth="1"/>
    <col min="2627" max="2828" width="5" style="384"/>
    <col min="2829" max="2829" width="4" style="384" customWidth="1"/>
    <col min="2830" max="2830" width="2.44140625" style="384" customWidth="1"/>
    <col min="2831" max="2831" width="14.88671875" style="384" customWidth="1"/>
    <col min="2832" max="2833" width="3.6640625" style="384" customWidth="1"/>
    <col min="2834" max="2834" width="0" style="384" hidden="1" customWidth="1"/>
    <col min="2835" max="2835" width="17.88671875" style="384" customWidth="1"/>
    <col min="2836" max="2838" width="9.6640625" style="384" customWidth="1"/>
    <col min="2839" max="2839" width="6.5546875" style="384" customWidth="1"/>
    <col min="2840" max="2853" width="5.44140625" style="384" customWidth="1"/>
    <col min="2854" max="2856" width="5.33203125" style="384" customWidth="1"/>
    <col min="2857" max="2881" width="5" style="384" customWidth="1"/>
    <col min="2882" max="2882" width="2" style="384" customWidth="1"/>
    <col min="2883" max="3084" width="5" style="384"/>
    <col min="3085" max="3085" width="4" style="384" customWidth="1"/>
    <col min="3086" max="3086" width="2.44140625" style="384" customWidth="1"/>
    <col min="3087" max="3087" width="14.88671875" style="384" customWidth="1"/>
    <col min="3088" max="3089" width="3.6640625" style="384" customWidth="1"/>
    <col min="3090" max="3090" width="0" style="384" hidden="1" customWidth="1"/>
    <col min="3091" max="3091" width="17.88671875" style="384" customWidth="1"/>
    <col min="3092" max="3094" width="9.6640625" style="384" customWidth="1"/>
    <col min="3095" max="3095" width="6.5546875" style="384" customWidth="1"/>
    <col min="3096" max="3109" width="5.44140625" style="384" customWidth="1"/>
    <col min="3110" max="3112" width="5.33203125" style="384" customWidth="1"/>
    <col min="3113" max="3137" width="5" style="384" customWidth="1"/>
    <col min="3138" max="3138" width="2" style="384" customWidth="1"/>
    <col min="3139" max="3340" width="5" style="384"/>
    <col min="3341" max="3341" width="4" style="384" customWidth="1"/>
    <col min="3342" max="3342" width="2.44140625" style="384" customWidth="1"/>
    <col min="3343" max="3343" width="14.88671875" style="384" customWidth="1"/>
    <col min="3344" max="3345" width="3.6640625" style="384" customWidth="1"/>
    <col min="3346" max="3346" width="0" style="384" hidden="1" customWidth="1"/>
    <col min="3347" max="3347" width="17.88671875" style="384" customWidth="1"/>
    <col min="3348" max="3350" width="9.6640625" style="384" customWidth="1"/>
    <col min="3351" max="3351" width="6.5546875" style="384" customWidth="1"/>
    <col min="3352" max="3365" width="5.44140625" style="384" customWidth="1"/>
    <col min="3366" max="3368" width="5.33203125" style="384" customWidth="1"/>
    <col min="3369" max="3393" width="5" style="384" customWidth="1"/>
    <col min="3394" max="3394" width="2" style="384" customWidth="1"/>
    <col min="3395" max="3596" width="5" style="384"/>
    <col min="3597" max="3597" width="4" style="384" customWidth="1"/>
    <col min="3598" max="3598" width="2.44140625" style="384" customWidth="1"/>
    <col min="3599" max="3599" width="14.88671875" style="384" customWidth="1"/>
    <col min="3600" max="3601" width="3.6640625" style="384" customWidth="1"/>
    <col min="3602" max="3602" width="0" style="384" hidden="1" customWidth="1"/>
    <col min="3603" max="3603" width="17.88671875" style="384" customWidth="1"/>
    <col min="3604" max="3606" width="9.6640625" style="384" customWidth="1"/>
    <col min="3607" max="3607" width="6.5546875" style="384" customWidth="1"/>
    <col min="3608" max="3621" width="5.44140625" style="384" customWidth="1"/>
    <col min="3622" max="3624" width="5.33203125" style="384" customWidth="1"/>
    <col min="3625" max="3649" width="5" style="384" customWidth="1"/>
    <col min="3650" max="3650" width="2" style="384" customWidth="1"/>
    <col min="3651" max="3852" width="5" style="384"/>
    <col min="3853" max="3853" width="4" style="384" customWidth="1"/>
    <col min="3854" max="3854" width="2.44140625" style="384" customWidth="1"/>
    <col min="3855" max="3855" width="14.88671875" style="384" customWidth="1"/>
    <col min="3856" max="3857" width="3.6640625" style="384" customWidth="1"/>
    <col min="3858" max="3858" width="0" style="384" hidden="1" customWidth="1"/>
    <col min="3859" max="3859" width="17.88671875" style="384" customWidth="1"/>
    <col min="3860" max="3862" width="9.6640625" style="384" customWidth="1"/>
    <col min="3863" max="3863" width="6.5546875" style="384" customWidth="1"/>
    <col min="3864" max="3877" width="5.44140625" style="384" customWidth="1"/>
    <col min="3878" max="3880" width="5.33203125" style="384" customWidth="1"/>
    <col min="3881" max="3905" width="5" style="384" customWidth="1"/>
    <col min="3906" max="3906" width="2" style="384" customWidth="1"/>
    <col min="3907" max="4108" width="5" style="384"/>
    <col min="4109" max="4109" width="4" style="384" customWidth="1"/>
    <col min="4110" max="4110" width="2.44140625" style="384" customWidth="1"/>
    <col min="4111" max="4111" width="14.88671875" style="384" customWidth="1"/>
    <col min="4112" max="4113" width="3.6640625" style="384" customWidth="1"/>
    <col min="4114" max="4114" width="0" style="384" hidden="1" customWidth="1"/>
    <col min="4115" max="4115" width="17.88671875" style="384" customWidth="1"/>
    <col min="4116" max="4118" width="9.6640625" style="384" customWidth="1"/>
    <col min="4119" max="4119" width="6.5546875" style="384" customWidth="1"/>
    <col min="4120" max="4133" width="5.44140625" style="384" customWidth="1"/>
    <col min="4134" max="4136" width="5.33203125" style="384" customWidth="1"/>
    <col min="4137" max="4161" width="5" style="384" customWidth="1"/>
    <col min="4162" max="4162" width="2" style="384" customWidth="1"/>
    <col min="4163" max="4364" width="5" style="384"/>
    <col min="4365" max="4365" width="4" style="384" customWidth="1"/>
    <col min="4366" max="4366" width="2.44140625" style="384" customWidth="1"/>
    <col min="4367" max="4367" width="14.88671875" style="384" customWidth="1"/>
    <col min="4368" max="4369" width="3.6640625" style="384" customWidth="1"/>
    <col min="4370" max="4370" width="0" style="384" hidden="1" customWidth="1"/>
    <col min="4371" max="4371" width="17.88671875" style="384" customWidth="1"/>
    <col min="4372" max="4374" width="9.6640625" style="384" customWidth="1"/>
    <col min="4375" max="4375" width="6.5546875" style="384" customWidth="1"/>
    <col min="4376" max="4389" width="5.44140625" style="384" customWidth="1"/>
    <col min="4390" max="4392" width="5.33203125" style="384" customWidth="1"/>
    <col min="4393" max="4417" width="5" style="384" customWidth="1"/>
    <col min="4418" max="4418" width="2" style="384" customWidth="1"/>
    <col min="4419" max="4620" width="5" style="384"/>
    <col min="4621" max="4621" width="4" style="384" customWidth="1"/>
    <col min="4622" max="4622" width="2.44140625" style="384" customWidth="1"/>
    <col min="4623" max="4623" width="14.88671875" style="384" customWidth="1"/>
    <col min="4624" max="4625" width="3.6640625" style="384" customWidth="1"/>
    <col min="4626" max="4626" width="0" style="384" hidden="1" customWidth="1"/>
    <col min="4627" max="4627" width="17.88671875" style="384" customWidth="1"/>
    <col min="4628" max="4630" width="9.6640625" style="384" customWidth="1"/>
    <col min="4631" max="4631" width="6.5546875" style="384" customWidth="1"/>
    <col min="4632" max="4645" width="5.44140625" style="384" customWidth="1"/>
    <col min="4646" max="4648" width="5.33203125" style="384" customWidth="1"/>
    <col min="4649" max="4673" width="5" style="384" customWidth="1"/>
    <col min="4674" max="4674" width="2" style="384" customWidth="1"/>
    <col min="4675" max="4876" width="5" style="384"/>
    <col min="4877" max="4877" width="4" style="384" customWidth="1"/>
    <col min="4878" max="4878" width="2.44140625" style="384" customWidth="1"/>
    <col min="4879" max="4879" width="14.88671875" style="384" customWidth="1"/>
    <col min="4880" max="4881" width="3.6640625" style="384" customWidth="1"/>
    <col min="4882" max="4882" width="0" style="384" hidden="1" customWidth="1"/>
    <col min="4883" max="4883" width="17.88671875" style="384" customWidth="1"/>
    <col min="4884" max="4886" width="9.6640625" style="384" customWidth="1"/>
    <col min="4887" max="4887" width="6.5546875" style="384" customWidth="1"/>
    <col min="4888" max="4901" width="5.44140625" style="384" customWidth="1"/>
    <col min="4902" max="4904" width="5.33203125" style="384" customWidth="1"/>
    <col min="4905" max="4929" width="5" style="384" customWidth="1"/>
    <col min="4930" max="4930" width="2" style="384" customWidth="1"/>
    <col min="4931" max="5132" width="5" style="384"/>
    <col min="5133" max="5133" width="4" style="384" customWidth="1"/>
    <col min="5134" max="5134" width="2.44140625" style="384" customWidth="1"/>
    <col min="5135" max="5135" width="14.88671875" style="384" customWidth="1"/>
    <col min="5136" max="5137" width="3.6640625" style="384" customWidth="1"/>
    <col min="5138" max="5138" width="0" style="384" hidden="1" customWidth="1"/>
    <col min="5139" max="5139" width="17.88671875" style="384" customWidth="1"/>
    <col min="5140" max="5142" width="9.6640625" style="384" customWidth="1"/>
    <col min="5143" max="5143" width="6.5546875" style="384" customWidth="1"/>
    <col min="5144" max="5157" width="5.44140625" style="384" customWidth="1"/>
    <col min="5158" max="5160" width="5.33203125" style="384" customWidth="1"/>
    <col min="5161" max="5185" width="5" style="384" customWidth="1"/>
    <col min="5186" max="5186" width="2" style="384" customWidth="1"/>
    <col min="5187" max="5388" width="5" style="384"/>
    <col min="5389" max="5389" width="4" style="384" customWidth="1"/>
    <col min="5390" max="5390" width="2.44140625" style="384" customWidth="1"/>
    <col min="5391" max="5391" width="14.88671875" style="384" customWidth="1"/>
    <col min="5392" max="5393" width="3.6640625" style="384" customWidth="1"/>
    <col min="5394" max="5394" width="0" style="384" hidden="1" customWidth="1"/>
    <col min="5395" max="5395" width="17.88671875" style="384" customWidth="1"/>
    <col min="5396" max="5398" width="9.6640625" style="384" customWidth="1"/>
    <col min="5399" max="5399" width="6.5546875" style="384" customWidth="1"/>
    <col min="5400" max="5413" width="5.44140625" style="384" customWidth="1"/>
    <col min="5414" max="5416" width="5.33203125" style="384" customWidth="1"/>
    <col min="5417" max="5441" width="5" style="384" customWidth="1"/>
    <col min="5442" max="5442" width="2" style="384" customWidth="1"/>
    <col min="5443" max="5644" width="5" style="384"/>
    <col min="5645" max="5645" width="4" style="384" customWidth="1"/>
    <col min="5646" max="5646" width="2.44140625" style="384" customWidth="1"/>
    <col min="5647" max="5647" width="14.88671875" style="384" customWidth="1"/>
    <col min="5648" max="5649" width="3.6640625" style="384" customWidth="1"/>
    <col min="5650" max="5650" width="0" style="384" hidden="1" customWidth="1"/>
    <col min="5651" max="5651" width="17.88671875" style="384" customWidth="1"/>
    <col min="5652" max="5654" width="9.6640625" style="384" customWidth="1"/>
    <col min="5655" max="5655" width="6.5546875" style="384" customWidth="1"/>
    <col min="5656" max="5669" width="5.44140625" style="384" customWidth="1"/>
    <col min="5670" max="5672" width="5.33203125" style="384" customWidth="1"/>
    <col min="5673" max="5697" width="5" style="384" customWidth="1"/>
    <col min="5698" max="5698" width="2" style="384" customWidth="1"/>
    <col min="5699" max="5900" width="5" style="384"/>
    <col min="5901" max="5901" width="4" style="384" customWidth="1"/>
    <col min="5902" max="5902" width="2.44140625" style="384" customWidth="1"/>
    <col min="5903" max="5903" width="14.88671875" style="384" customWidth="1"/>
    <col min="5904" max="5905" width="3.6640625" style="384" customWidth="1"/>
    <col min="5906" max="5906" width="0" style="384" hidden="1" customWidth="1"/>
    <col min="5907" max="5907" width="17.88671875" style="384" customWidth="1"/>
    <col min="5908" max="5910" width="9.6640625" style="384" customWidth="1"/>
    <col min="5911" max="5911" width="6.5546875" style="384" customWidth="1"/>
    <col min="5912" max="5925" width="5.44140625" style="384" customWidth="1"/>
    <col min="5926" max="5928" width="5.33203125" style="384" customWidth="1"/>
    <col min="5929" max="5953" width="5" style="384" customWidth="1"/>
    <col min="5954" max="5954" width="2" style="384" customWidth="1"/>
    <col min="5955" max="6156" width="5" style="384"/>
    <col min="6157" max="6157" width="4" style="384" customWidth="1"/>
    <col min="6158" max="6158" width="2.44140625" style="384" customWidth="1"/>
    <col min="6159" max="6159" width="14.88671875" style="384" customWidth="1"/>
    <col min="6160" max="6161" width="3.6640625" style="384" customWidth="1"/>
    <col min="6162" max="6162" width="0" style="384" hidden="1" customWidth="1"/>
    <col min="6163" max="6163" width="17.88671875" style="384" customWidth="1"/>
    <col min="6164" max="6166" width="9.6640625" style="384" customWidth="1"/>
    <col min="6167" max="6167" width="6.5546875" style="384" customWidth="1"/>
    <col min="6168" max="6181" width="5.44140625" style="384" customWidth="1"/>
    <col min="6182" max="6184" width="5.33203125" style="384" customWidth="1"/>
    <col min="6185" max="6209" width="5" style="384" customWidth="1"/>
    <col min="6210" max="6210" width="2" style="384" customWidth="1"/>
    <col min="6211" max="6412" width="5" style="384"/>
    <col min="6413" max="6413" width="4" style="384" customWidth="1"/>
    <col min="6414" max="6414" width="2.44140625" style="384" customWidth="1"/>
    <col min="6415" max="6415" width="14.88671875" style="384" customWidth="1"/>
    <col min="6416" max="6417" width="3.6640625" style="384" customWidth="1"/>
    <col min="6418" max="6418" width="0" style="384" hidden="1" customWidth="1"/>
    <col min="6419" max="6419" width="17.88671875" style="384" customWidth="1"/>
    <col min="6420" max="6422" width="9.6640625" style="384" customWidth="1"/>
    <col min="6423" max="6423" width="6.5546875" style="384" customWidth="1"/>
    <col min="6424" max="6437" width="5.44140625" style="384" customWidth="1"/>
    <col min="6438" max="6440" width="5.33203125" style="384" customWidth="1"/>
    <col min="6441" max="6465" width="5" style="384" customWidth="1"/>
    <col min="6466" max="6466" width="2" style="384" customWidth="1"/>
    <col min="6467" max="6668" width="5" style="384"/>
    <col min="6669" max="6669" width="4" style="384" customWidth="1"/>
    <col min="6670" max="6670" width="2.44140625" style="384" customWidth="1"/>
    <col min="6671" max="6671" width="14.88671875" style="384" customWidth="1"/>
    <col min="6672" max="6673" width="3.6640625" style="384" customWidth="1"/>
    <col min="6674" max="6674" width="0" style="384" hidden="1" customWidth="1"/>
    <col min="6675" max="6675" width="17.88671875" style="384" customWidth="1"/>
    <col min="6676" max="6678" width="9.6640625" style="384" customWidth="1"/>
    <col min="6679" max="6679" width="6.5546875" style="384" customWidth="1"/>
    <col min="6680" max="6693" width="5.44140625" style="384" customWidth="1"/>
    <col min="6694" max="6696" width="5.33203125" style="384" customWidth="1"/>
    <col min="6697" max="6721" width="5" style="384" customWidth="1"/>
    <col min="6722" max="6722" width="2" style="384" customWidth="1"/>
    <col min="6723" max="6924" width="5" style="384"/>
    <col min="6925" max="6925" width="4" style="384" customWidth="1"/>
    <col min="6926" max="6926" width="2.44140625" style="384" customWidth="1"/>
    <col min="6927" max="6927" width="14.88671875" style="384" customWidth="1"/>
    <col min="6928" max="6929" width="3.6640625" style="384" customWidth="1"/>
    <col min="6930" max="6930" width="0" style="384" hidden="1" customWidth="1"/>
    <col min="6931" max="6931" width="17.88671875" style="384" customWidth="1"/>
    <col min="6932" max="6934" width="9.6640625" style="384" customWidth="1"/>
    <col min="6935" max="6935" width="6.5546875" style="384" customWidth="1"/>
    <col min="6936" max="6949" width="5.44140625" style="384" customWidth="1"/>
    <col min="6950" max="6952" width="5.33203125" style="384" customWidth="1"/>
    <col min="6953" max="6977" width="5" style="384" customWidth="1"/>
    <col min="6978" max="6978" width="2" style="384" customWidth="1"/>
    <col min="6979" max="7180" width="5" style="384"/>
    <col min="7181" max="7181" width="4" style="384" customWidth="1"/>
    <col min="7182" max="7182" width="2.44140625" style="384" customWidth="1"/>
    <col min="7183" max="7183" width="14.88671875" style="384" customWidth="1"/>
    <col min="7184" max="7185" width="3.6640625" style="384" customWidth="1"/>
    <col min="7186" max="7186" width="0" style="384" hidden="1" customWidth="1"/>
    <col min="7187" max="7187" width="17.88671875" style="384" customWidth="1"/>
    <col min="7188" max="7190" width="9.6640625" style="384" customWidth="1"/>
    <col min="7191" max="7191" width="6.5546875" style="384" customWidth="1"/>
    <col min="7192" max="7205" width="5.44140625" style="384" customWidth="1"/>
    <col min="7206" max="7208" width="5.33203125" style="384" customWidth="1"/>
    <col min="7209" max="7233" width="5" style="384" customWidth="1"/>
    <col min="7234" max="7234" width="2" style="384" customWidth="1"/>
    <col min="7235" max="7436" width="5" style="384"/>
    <col min="7437" max="7437" width="4" style="384" customWidth="1"/>
    <col min="7438" max="7438" width="2.44140625" style="384" customWidth="1"/>
    <col min="7439" max="7439" width="14.88671875" style="384" customWidth="1"/>
    <col min="7440" max="7441" width="3.6640625" style="384" customWidth="1"/>
    <col min="7442" max="7442" width="0" style="384" hidden="1" customWidth="1"/>
    <col min="7443" max="7443" width="17.88671875" style="384" customWidth="1"/>
    <col min="7444" max="7446" width="9.6640625" style="384" customWidth="1"/>
    <col min="7447" max="7447" width="6.5546875" style="384" customWidth="1"/>
    <col min="7448" max="7461" width="5.44140625" style="384" customWidth="1"/>
    <col min="7462" max="7464" width="5.33203125" style="384" customWidth="1"/>
    <col min="7465" max="7489" width="5" style="384" customWidth="1"/>
    <col min="7490" max="7490" width="2" style="384" customWidth="1"/>
    <col min="7491" max="7692" width="5" style="384"/>
    <col min="7693" max="7693" width="4" style="384" customWidth="1"/>
    <col min="7694" max="7694" width="2.44140625" style="384" customWidth="1"/>
    <col min="7695" max="7695" width="14.88671875" style="384" customWidth="1"/>
    <col min="7696" max="7697" width="3.6640625" style="384" customWidth="1"/>
    <col min="7698" max="7698" width="0" style="384" hidden="1" customWidth="1"/>
    <col min="7699" max="7699" width="17.88671875" style="384" customWidth="1"/>
    <col min="7700" max="7702" width="9.6640625" style="384" customWidth="1"/>
    <col min="7703" max="7703" width="6.5546875" style="384" customWidth="1"/>
    <col min="7704" max="7717" width="5.44140625" style="384" customWidth="1"/>
    <col min="7718" max="7720" width="5.33203125" style="384" customWidth="1"/>
    <col min="7721" max="7745" width="5" style="384" customWidth="1"/>
    <col min="7746" max="7746" width="2" style="384" customWidth="1"/>
    <col min="7747" max="7948" width="5" style="384"/>
    <col min="7949" max="7949" width="4" style="384" customWidth="1"/>
    <col min="7950" max="7950" width="2.44140625" style="384" customWidth="1"/>
    <col min="7951" max="7951" width="14.88671875" style="384" customWidth="1"/>
    <col min="7952" max="7953" width="3.6640625" style="384" customWidth="1"/>
    <col min="7954" max="7954" width="0" style="384" hidden="1" customWidth="1"/>
    <col min="7955" max="7955" width="17.88671875" style="384" customWidth="1"/>
    <col min="7956" max="7958" width="9.6640625" style="384" customWidth="1"/>
    <col min="7959" max="7959" width="6.5546875" style="384" customWidth="1"/>
    <col min="7960" max="7973" width="5.44140625" style="384" customWidth="1"/>
    <col min="7974" max="7976" width="5.33203125" style="384" customWidth="1"/>
    <col min="7977" max="8001" width="5" style="384" customWidth="1"/>
    <col min="8002" max="8002" width="2" style="384" customWidth="1"/>
    <col min="8003" max="8204" width="5" style="384"/>
    <col min="8205" max="8205" width="4" style="384" customWidth="1"/>
    <col min="8206" max="8206" width="2.44140625" style="384" customWidth="1"/>
    <col min="8207" max="8207" width="14.88671875" style="384" customWidth="1"/>
    <col min="8208" max="8209" width="3.6640625" style="384" customWidth="1"/>
    <col min="8210" max="8210" width="0" style="384" hidden="1" customWidth="1"/>
    <col min="8211" max="8211" width="17.88671875" style="384" customWidth="1"/>
    <col min="8212" max="8214" width="9.6640625" style="384" customWidth="1"/>
    <col min="8215" max="8215" width="6.5546875" style="384" customWidth="1"/>
    <col min="8216" max="8229" width="5.44140625" style="384" customWidth="1"/>
    <col min="8230" max="8232" width="5.33203125" style="384" customWidth="1"/>
    <col min="8233" max="8257" width="5" style="384" customWidth="1"/>
    <col min="8258" max="8258" width="2" style="384" customWidth="1"/>
    <col min="8259" max="8460" width="5" style="384"/>
    <col min="8461" max="8461" width="4" style="384" customWidth="1"/>
    <col min="8462" max="8462" width="2.44140625" style="384" customWidth="1"/>
    <col min="8463" max="8463" width="14.88671875" style="384" customWidth="1"/>
    <col min="8464" max="8465" width="3.6640625" style="384" customWidth="1"/>
    <col min="8466" max="8466" width="0" style="384" hidden="1" customWidth="1"/>
    <col min="8467" max="8467" width="17.88671875" style="384" customWidth="1"/>
    <col min="8468" max="8470" width="9.6640625" style="384" customWidth="1"/>
    <col min="8471" max="8471" width="6.5546875" style="384" customWidth="1"/>
    <col min="8472" max="8485" width="5.44140625" style="384" customWidth="1"/>
    <col min="8486" max="8488" width="5.33203125" style="384" customWidth="1"/>
    <col min="8489" max="8513" width="5" style="384" customWidth="1"/>
    <col min="8514" max="8514" width="2" style="384" customWidth="1"/>
    <col min="8515" max="8716" width="5" style="384"/>
    <col min="8717" max="8717" width="4" style="384" customWidth="1"/>
    <col min="8718" max="8718" width="2.44140625" style="384" customWidth="1"/>
    <col min="8719" max="8719" width="14.88671875" style="384" customWidth="1"/>
    <col min="8720" max="8721" width="3.6640625" style="384" customWidth="1"/>
    <col min="8722" max="8722" width="0" style="384" hidden="1" customWidth="1"/>
    <col min="8723" max="8723" width="17.88671875" style="384" customWidth="1"/>
    <col min="8724" max="8726" width="9.6640625" style="384" customWidth="1"/>
    <col min="8727" max="8727" width="6.5546875" style="384" customWidth="1"/>
    <col min="8728" max="8741" width="5.44140625" style="384" customWidth="1"/>
    <col min="8742" max="8744" width="5.33203125" style="384" customWidth="1"/>
    <col min="8745" max="8769" width="5" style="384" customWidth="1"/>
    <col min="8770" max="8770" width="2" style="384" customWidth="1"/>
    <col min="8771" max="8972" width="5" style="384"/>
    <col min="8973" max="8973" width="4" style="384" customWidth="1"/>
    <col min="8974" max="8974" width="2.44140625" style="384" customWidth="1"/>
    <col min="8975" max="8975" width="14.88671875" style="384" customWidth="1"/>
    <col min="8976" max="8977" width="3.6640625" style="384" customWidth="1"/>
    <col min="8978" max="8978" width="0" style="384" hidden="1" customWidth="1"/>
    <col min="8979" max="8979" width="17.88671875" style="384" customWidth="1"/>
    <col min="8980" max="8982" width="9.6640625" style="384" customWidth="1"/>
    <col min="8983" max="8983" width="6.5546875" style="384" customWidth="1"/>
    <col min="8984" max="8997" width="5.44140625" style="384" customWidth="1"/>
    <col min="8998" max="9000" width="5.33203125" style="384" customWidth="1"/>
    <col min="9001" max="9025" width="5" style="384" customWidth="1"/>
    <col min="9026" max="9026" width="2" style="384" customWidth="1"/>
    <col min="9027" max="9228" width="5" style="384"/>
    <col min="9229" max="9229" width="4" style="384" customWidth="1"/>
    <col min="9230" max="9230" width="2.44140625" style="384" customWidth="1"/>
    <col min="9231" max="9231" width="14.88671875" style="384" customWidth="1"/>
    <col min="9232" max="9233" width="3.6640625" style="384" customWidth="1"/>
    <col min="9234" max="9234" width="0" style="384" hidden="1" customWidth="1"/>
    <col min="9235" max="9235" width="17.88671875" style="384" customWidth="1"/>
    <col min="9236" max="9238" width="9.6640625" style="384" customWidth="1"/>
    <col min="9239" max="9239" width="6.5546875" style="384" customWidth="1"/>
    <col min="9240" max="9253" width="5.44140625" style="384" customWidth="1"/>
    <col min="9254" max="9256" width="5.33203125" style="384" customWidth="1"/>
    <col min="9257" max="9281" width="5" style="384" customWidth="1"/>
    <col min="9282" max="9282" width="2" style="384" customWidth="1"/>
    <col min="9283" max="9484" width="5" style="384"/>
    <col min="9485" max="9485" width="4" style="384" customWidth="1"/>
    <col min="9486" max="9486" width="2.44140625" style="384" customWidth="1"/>
    <col min="9487" max="9487" width="14.88671875" style="384" customWidth="1"/>
    <col min="9488" max="9489" width="3.6640625" style="384" customWidth="1"/>
    <col min="9490" max="9490" width="0" style="384" hidden="1" customWidth="1"/>
    <col min="9491" max="9491" width="17.88671875" style="384" customWidth="1"/>
    <col min="9492" max="9494" width="9.6640625" style="384" customWidth="1"/>
    <col min="9495" max="9495" width="6.5546875" style="384" customWidth="1"/>
    <col min="9496" max="9509" width="5.44140625" style="384" customWidth="1"/>
    <col min="9510" max="9512" width="5.33203125" style="384" customWidth="1"/>
    <col min="9513" max="9537" width="5" style="384" customWidth="1"/>
    <col min="9538" max="9538" width="2" style="384" customWidth="1"/>
    <col min="9539" max="9740" width="5" style="384"/>
    <col min="9741" max="9741" width="4" style="384" customWidth="1"/>
    <col min="9742" max="9742" width="2.44140625" style="384" customWidth="1"/>
    <col min="9743" max="9743" width="14.88671875" style="384" customWidth="1"/>
    <col min="9744" max="9745" width="3.6640625" style="384" customWidth="1"/>
    <col min="9746" max="9746" width="0" style="384" hidden="1" customWidth="1"/>
    <col min="9747" max="9747" width="17.88671875" style="384" customWidth="1"/>
    <col min="9748" max="9750" width="9.6640625" style="384" customWidth="1"/>
    <col min="9751" max="9751" width="6.5546875" style="384" customWidth="1"/>
    <col min="9752" max="9765" width="5.44140625" style="384" customWidth="1"/>
    <col min="9766" max="9768" width="5.33203125" style="384" customWidth="1"/>
    <col min="9769" max="9793" width="5" style="384" customWidth="1"/>
    <col min="9794" max="9794" width="2" style="384" customWidth="1"/>
    <col min="9795" max="9996" width="5" style="384"/>
    <col min="9997" max="9997" width="4" style="384" customWidth="1"/>
    <col min="9998" max="9998" width="2.44140625" style="384" customWidth="1"/>
    <col min="9999" max="9999" width="14.88671875" style="384" customWidth="1"/>
    <col min="10000" max="10001" width="3.6640625" style="384" customWidth="1"/>
    <col min="10002" max="10002" width="0" style="384" hidden="1" customWidth="1"/>
    <col min="10003" max="10003" width="17.88671875" style="384" customWidth="1"/>
    <col min="10004" max="10006" width="9.6640625" style="384" customWidth="1"/>
    <col min="10007" max="10007" width="6.5546875" style="384" customWidth="1"/>
    <col min="10008" max="10021" width="5.44140625" style="384" customWidth="1"/>
    <col min="10022" max="10024" width="5.33203125" style="384" customWidth="1"/>
    <col min="10025" max="10049" width="5" style="384" customWidth="1"/>
    <col min="10050" max="10050" width="2" style="384" customWidth="1"/>
    <col min="10051" max="10252" width="5" style="384"/>
    <col min="10253" max="10253" width="4" style="384" customWidth="1"/>
    <col min="10254" max="10254" width="2.44140625" style="384" customWidth="1"/>
    <col min="10255" max="10255" width="14.88671875" style="384" customWidth="1"/>
    <col min="10256" max="10257" width="3.6640625" style="384" customWidth="1"/>
    <col min="10258" max="10258" width="0" style="384" hidden="1" customWidth="1"/>
    <col min="10259" max="10259" width="17.88671875" style="384" customWidth="1"/>
    <col min="10260" max="10262" width="9.6640625" style="384" customWidth="1"/>
    <col min="10263" max="10263" width="6.5546875" style="384" customWidth="1"/>
    <col min="10264" max="10277" width="5.44140625" style="384" customWidth="1"/>
    <col min="10278" max="10280" width="5.33203125" style="384" customWidth="1"/>
    <col min="10281" max="10305" width="5" style="384" customWidth="1"/>
    <col min="10306" max="10306" width="2" style="384" customWidth="1"/>
    <col min="10307" max="10508" width="5" style="384"/>
    <col min="10509" max="10509" width="4" style="384" customWidth="1"/>
    <col min="10510" max="10510" width="2.44140625" style="384" customWidth="1"/>
    <col min="10511" max="10511" width="14.88671875" style="384" customWidth="1"/>
    <col min="10512" max="10513" width="3.6640625" style="384" customWidth="1"/>
    <col min="10514" max="10514" width="0" style="384" hidden="1" customWidth="1"/>
    <col min="10515" max="10515" width="17.88671875" style="384" customWidth="1"/>
    <col min="10516" max="10518" width="9.6640625" style="384" customWidth="1"/>
    <col min="10519" max="10519" width="6.5546875" style="384" customWidth="1"/>
    <col min="10520" max="10533" width="5.44140625" style="384" customWidth="1"/>
    <col min="10534" max="10536" width="5.33203125" style="384" customWidth="1"/>
    <col min="10537" max="10561" width="5" style="384" customWidth="1"/>
    <col min="10562" max="10562" width="2" style="384" customWidth="1"/>
    <col min="10563" max="10764" width="5" style="384"/>
    <col min="10765" max="10765" width="4" style="384" customWidth="1"/>
    <col min="10766" max="10766" width="2.44140625" style="384" customWidth="1"/>
    <col min="10767" max="10767" width="14.88671875" style="384" customWidth="1"/>
    <col min="10768" max="10769" width="3.6640625" style="384" customWidth="1"/>
    <col min="10770" max="10770" width="0" style="384" hidden="1" customWidth="1"/>
    <col min="10771" max="10771" width="17.88671875" style="384" customWidth="1"/>
    <col min="10772" max="10774" width="9.6640625" style="384" customWidth="1"/>
    <col min="10775" max="10775" width="6.5546875" style="384" customWidth="1"/>
    <col min="10776" max="10789" width="5.44140625" style="384" customWidth="1"/>
    <col min="10790" max="10792" width="5.33203125" style="384" customWidth="1"/>
    <col min="10793" max="10817" width="5" style="384" customWidth="1"/>
    <col min="10818" max="10818" width="2" style="384" customWidth="1"/>
    <col min="10819" max="11020" width="5" style="384"/>
    <col min="11021" max="11021" width="4" style="384" customWidth="1"/>
    <col min="11022" max="11022" width="2.44140625" style="384" customWidth="1"/>
    <col min="11023" max="11023" width="14.88671875" style="384" customWidth="1"/>
    <col min="11024" max="11025" width="3.6640625" style="384" customWidth="1"/>
    <col min="11026" max="11026" width="0" style="384" hidden="1" customWidth="1"/>
    <col min="11027" max="11027" width="17.88671875" style="384" customWidth="1"/>
    <col min="11028" max="11030" width="9.6640625" style="384" customWidth="1"/>
    <col min="11031" max="11031" width="6.5546875" style="384" customWidth="1"/>
    <col min="11032" max="11045" width="5.44140625" style="384" customWidth="1"/>
    <col min="11046" max="11048" width="5.33203125" style="384" customWidth="1"/>
    <col min="11049" max="11073" width="5" style="384" customWidth="1"/>
    <col min="11074" max="11074" width="2" style="384" customWidth="1"/>
    <col min="11075" max="11276" width="5" style="384"/>
    <col min="11277" max="11277" width="4" style="384" customWidth="1"/>
    <col min="11278" max="11278" width="2.44140625" style="384" customWidth="1"/>
    <col min="11279" max="11279" width="14.88671875" style="384" customWidth="1"/>
    <col min="11280" max="11281" width="3.6640625" style="384" customWidth="1"/>
    <col min="11282" max="11282" width="0" style="384" hidden="1" customWidth="1"/>
    <col min="11283" max="11283" width="17.88671875" style="384" customWidth="1"/>
    <col min="11284" max="11286" width="9.6640625" style="384" customWidth="1"/>
    <col min="11287" max="11287" width="6.5546875" style="384" customWidth="1"/>
    <col min="11288" max="11301" width="5.44140625" style="384" customWidth="1"/>
    <col min="11302" max="11304" width="5.33203125" style="384" customWidth="1"/>
    <col min="11305" max="11329" width="5" style="384" customWidth="1"/>
    <col min="11330" max="11330" width="2" style="384" customWidth="1"/>
    <col min="11331" max="11532" width="5" style="384"/>
    <col min="11533" max="11533" width="4" style="384" customWidth="1"/>
    <col min="11534" max="11534" width="2.44140625" style="384" customWidth="1"/>
    <col min="11535" max="11535" width="14.88671875" style="384" customWidth="1"/>
    <col min="11536" max="11537" width="3.6640625" style="384" customWidth="1"/>
    <col min="11538" max="11538" width="0" style="384" hidden="1" customWidth="1"/>
    <col min="11539" max="11539" width="17.88671875" style="384" customWidth="1"/>
    <col min="11540" max="11542" width="9.6640625" style="384" customWidth="1"/>
    <col min="11543" max="11543" width="6.5546875" style="384" customWidth="1"/>
    <col min="11544" max="11557" width="5.44140625" style="384" customWidth="1"/>
    <col min="11558" max="11560" width="5.33203125" style="384" customWidth="1"/>
    <col min="11561" max="11585" width="5" style="384" customWidth="1"/>
    <col min="11586" max="11586" width="2" style="384" customWidth="1"/>
    <col min="11587" max="11788" width="5" style="384"/>
    <col min="11789" max="11789" width="4" style="384" customWidth="1"/>
    <col min="11790" max="11790" width="2.44140625" style="384" customWidth="1"/>
    <col min="11791" max="11791" width="14.88671875" style="384" customWidth="1"/>
    <col min="11792" max="11793" width="3.6640625" style="384" customWidth="1"/>
    <col min="11794" max="11794" width="0" style="384" hidden="1" customWidth="1"/>
    <col min="11795" max="11795" width="17.88671875" style="384" customWidth="1"/>
    <col min="11796" max="11798" width="9.6640625" style="384" customWidth="1"/>
    <col min="11799" max="11799" width="6.5546875" style="384" customWidth="1"/>
    <col min="11800" max="11813" width="5.44140625" style="384" customWidth="1"/>
    <col min="11814" max="11816" width="5.33203125" style="384" customWidth="1"/>
    <col min="11817" max="11841" width="5" style="384" customWidth="1"/>
    <col min="11842" max="11842" width="2" style="384" customWidth="1"/>
    <col min="11843" max="12044" width="5" style="384"/>
    <col min="12045" max="12045" width="4" style="384" customWidth="1"/>
    <col min="12046" max="12046" width="2.44140625" style="384" customWidth="1"/>
    <col min="12047" max="12047" width="14.88671875" style="384" customWidth="1"/>
    <col min="12048" max="12049" width="3.6640625" style="384" customWidth="1"/>
    <col min="12050" max="12050" width="0" style="384" hidden="1" customWidth="1"/>
    <col min="12051" max="12051" width="17.88671875" style="384" customWidth="1"/>
    <col min="12052" max="12054" width="9.6640625" style="384" customWidth="1"/>
    <col min="12055" max="12055" width="6.5546875" style="384" customWidth="1"/>
    <col min="12056" max="12069" width="5.44140625" style="384" customWidth="1"/>
    <col min="12070" max="12072" width="5.33203125" style="384" customWidth="1"/>
    <col min="12073" max="12097" width="5" style="384" customWidth="1"/>
    <col min="12098" max="12098" width="2" style="384" customWidth="1"/>
    <col min="12099" max="12300" width="5" style="384"/>
    <col min="12301" max="12301" width="4" style="384" customWidth="1"/>
    <col min="12302" max="12302" width="2.44140625" style="384" customWidth="1"/>
    <col min="12303" max="12303" width="14.88671875" style="384" customWidth="1"/>
    <col min="12304" max="12305" width="3.6640625" style="384" customWidth="1"/>
    <col min="12306" max="12306" width="0" style="384" hidden="1" customWidth="1"/>
    <col min="12307" max="12307" width="17.88671875" style="384" customWidth="1"/>
    <col min="12308" max="12310" width="9.6640625" style="384" customWidth="1"/>
    <col min="12311" max="12311" width="6.5546875" style="384" customWidth="1"/>
    <col min="12312" max="12325" width="5.44140625" style="384" customWidth="1"/>
    <col min="12326" max="12328" width="5.33203125" style="384" customWidth="1"/>
    <col min="12329" max="12353" width="5" style="384" customWidth="1"/>
    <col min="12354" max="12354" width="2" style="384" customWidth="1"/>
    <col min="12355" max="12556" width="5" style="384"/>
    <col min="12557" max="12557" width="4" style="384" customWidth="1"/>
    <col min="12558" max="12558" width="2.44140625" style="384" customWidth="1"/>
    <col min="12559" max="12559" width="14.88671875" style="384" customWidth="1"/>
    <col min="12560" max="12561" width="3.6640625" style="384" customWidth="1"/>
    <col min="12562" max="12562" width="0" style="384" hidden="1" customWidth="1"/>
    <col min="12563" max="12563" width="17.88671875" style="384" customWidth="1"/>
    <col min="12564" max="12566" width="9.6640625" style="384" customWidth="1"/>
    <col min="12567" max="12567" width="6.5546875" style="384" customWidth="1"/>
    <col min="12568" max="12581" width="5.44140625" style="384" customWidth="1"/>
    <col min="12582" max="12584" width="5.33203125" style="384" customWidth="1"/>
    <col min="12585" max="12609" width="5" style="384" customWidth="1"/>
    <col min="12610" max="12610" width="2" style="384" customWidth="1"/>
    <col min="12611" max="12812" width="5" style="384"/>
    <col min="12813" max="12813" width="4" style="384" customWidth="1"/>
    <col min="12814" max="12814" width="2.44140625" style="384" customWidth="1"/>
    <col min="12815" max="12815" width="14.88671875" style="384" customWidth="1"/>
    <col min="12816" max="12817" width="3.6640625" style="384" customWidth="1"/>
    <col min="12818" max="12818" width="0" style="384" hidden="1" customWidth="1"/>
    <col min="12819" max="12819" width="17.88671875" style="384" customWidth="1"/>
    <col min="12820" max="12822" width="9.6640625" style="384" customWidth="1"/>
    <col min="12823" max="12823" width="6.5546875" style="384" customWidth="1"/>
    <col min="12824" max="12837" width="5.44140625" style="384" customWidth="1"/>
    <col min="12838" max="12840" width="5.33203125" style="384" customWidth="1"/>
    <col min="12841" max="12865" width="5" style="384" customWidth="1"/>
    <col min="12866" max="12866" width="2" style="384" customWidth="1"/>
    <col min="12867" max="13068" width="5" style="384"/>
    <col min="13069" max="13069" width="4" style="384" customWidth="1"/>
    <col min="13070" max="13070" width="2.44140625" style="384" customWidth="1"/>
    <col min="13071" max="13071" width="14.88671875" style="384" customWidth="1"/>
    <col min="13072" max="13073" width="3.6640625" style="384" customWidth="1"/>
    <col min="13074" max="13074" width="0" style="384" hidden="1" customWidth="1"/>
    <col min="13075" max="13075" width="17.88671875" style="384" customWidth="1"/>
    <col min="13076" max="13078" width="9.6640625" style="384" customWidth="1"/>
    <col min="13079" max="13079" width="6.5546875" style="384" customWidth="1"/>
    <col min="13080" max="13093" width="5.44140625" style="384" customWidth="1"/>
    <col min="13094" max="13096" width="5.33203125" style="384" customWidth="1"/>
    <col min="13097" max="13121" width="5" style="384" customWidth="1"/>
    <col min="13122" max="13122" width="2" style="384" customWidth="1"/>
    <col min="13123" max="13324" width="5" style="384"/>
    <col min="13325" max="13325" width="4" style="384" customWidth="1"/>
    <col min="13326" max="13326" width="2.44140625" style="384" customWidth="1"/>
    <col min="13327" max="13327" width="14.88671875" style="384" customWidth="1"/>
    <col min="13328" max="13329" width="3.6640625" style="384" customWidth="1"/>
    <col min="13330" max="13330" width="0" style="384" hidden="1" customWidth="1"/>
    <col min="13331" max="13331" width="17.88671875" style="384" customWidth="1"/>
    <col min="13332" max="13334" width="9.6640625" style="384" customWidth="1"/>
    <col min="13335" max="13335" width="6.5546875" style="384" customWidth="1"/>
    <col min="13336" max="13349" width="5.44140625" style="384" customWidth="1"/>
    <col min="13350" max="13352" width="5.33203125" style="384" customWidth="1"/>
    <col min="13353" max="13377" width="5" style="384" customWidth="1"/>
    <col min="13378" max="13378" width="2" style="384" customWidth="1"/>
    <col min="13379" max="13580" width="5" style="384"/>
    <col min="13581" max="13581" width="4" style="384" customWidth="1"/>
    <col min="13582" max="13582" width="2.44140625" style="384" customWidth="1"/>
    <col min="13583" max="13583" width="14.88671875" style="384" customWidth="1"/>
    <col min="13584" max="13585" width="3.6640625" style="384" customWidth="1"/>
    <col min="13586" max="13586" width="0" style="384" hidden="1" customWidth="1"/>
    <col min="13587" max="13587" width="17.88671875" style="384" customWidth="1"/>
    <col min="13588" max="13590" width="9.6640625" style="384" customWidth="1"/>
    <col min="13591" max="13591" width="6.5546875" style="384" customWidth="1"/>
    <col min="13592" max="13605" width="5.44140625" style="384" customWidth="1"/>
    <col min="13606" max="13608" width="5.33203125" style="384" customWidth="1"/>
    <col min="13609" max="13633" width="5" style="384" customWidth="1"/>
    <col min="13634" max="13634" width="2" style="384" customWidth="1"/>
    <col min="13635" max="13836" width="5" style="384"/>
    <col min="13837" max="13837" width="4" style="384" customWidth="1"/>
    <col min="13838" max="13838" width="2.44140625" style="384" customWidth="1"/>
    <col min="13839" max="13839" width="14.88671875" style="384" customWidth="1"/>
    <col min="13840" max="13841" width="3.6640625" style="384" customWidth="1"/>
    <col min="13842" max="13842" width="0" style="384" hidden="1" customWidth="1"/>
    <col min="13843" max="13843" width="17.88671875" style="384" customWidth="1"/>
    <col min="13844" max="13846" width="9.6640625" style="384" customWidth="1"/>
    <col min="13847" max="13847" width="6.5546875" style="384" customWidth="1"/>
    <col min="13848" max="13861" width="5.44140625" style="384" customWidth="1"/>
    <col min="13862" max="13864" width="5.33203125" style="384" customWidth="1"/>
    <col min="13865" max="13889" width="5" style="384" customWidth="1"/>
    <col min="13890" max="13890" width="2" style="384" customWidth="1"/>
    <col min="13891" max="14092" width="5" style="384"/>
    <col min="14093" max="14093" width="4" style="384" customWidth="1"/>
    <col min="14094" max="14094" width="2.44140625" style="384" customWidth="1"/>
    <col min="14095" max="14095" width="14.88671875" style="384" customWidth="1"/>
    <col min="14096" max="14097" width="3.6640625" style="384" customWidth="1"/>
    <col min="14098" max="14098" width="0" style="384" hidden="1" customWidth="1"/>
    <col min="14099" max="14099" width="17.88671875" style="384" customWidth="1"/>
    <col min="14100" max="14102" width="9.6640625" style="384" customWidth="1"/>
    <col min="14103" max="14103" width="6.5546875" style="384" customWidth="1"/>
    <col min="14104" max="14117" width="5.44140625" style="384" customWidth="1"/>
    <col min="14118" max="14120" width="5.33203125" style="384" customWidth="1"/>
    <col min="14121" max="14145" width="5" style="384" customWidth="1"/>
    <col min="14146" max="14146" width="2" style="384" customWidth="1"/>
    <col min="14147" max="14348" width="5" style="384"/>
    <col min="14349" max="14349" width="4" style="384" customWidth="1"/>
    <col min="14350" max="14350" width="2.44140625" style="384" customWidth="1"/>
    <col min="14351" max="14351" width="14.88671875" style="384" customWidth="1"/>
    <col min="14352" max="14353" width="3.6640625" style="384" customWidth="1"/>
    <col min="14354" max="14354" width="0" style="384" hidden="1" customWidth="1"/>
    <col min="14355" max="14355" width="17.88671875" style="384" customWidth="1"/>
    <col min="14356" max="14358" width="9.6640625" style="384" customWidth="1"/>
    <col min="14359" max="14359" width="6.5546875" style="384" customWidth="1"/>
    <col min="14360" max="14373" width="5.44140625" style="384" customWidth="1"/>
    <col min="14374" max="14376" width="5.33203125" style="384" customWidth="1"/>
    <col min="14377" max="14401" width="5" style="384" customWidth="1"/>
    <col min="14402" max="14402" width="2" style="384" customWidth="1"/>
    <col min="14403" max="14604" width="5" style="384"/>
    <col min="14605" max="14605" width="4" style="384" customWidth="1"/>
    <col min="14606" max="14606" width="2.44140625" style="384" customWidth="1"/>
    <col min="14607" max="14607" width="14.88671875" style="384" customWidth="1"/>
    <col min="14608" max="14609" width="3.6640625" style="384" customWidth="1"/>
    <col min="14610" max="14610" width="0" style="384" hidden="1" customWidth="1"/>
    <col min="14611" max="14611" width="17.88671875" style="384" customWidth="1"/>
    <col min="14612" max="14614" width="9.6640625" style="384" customWidth="1"/>
    <col min="14615" max="14615" width="6.5546875" style="384" customWidth="1"/>
    <col min="14616" max="14629" width="5.44140625" style="384" customWidth="1"/>
    <col min="14630" max="14632" width="5.33203125" style="384" customWidth="1"/>
    <col min="14633" max="14657" width="5" style="384" customWidth="1"/>
    <col min="14658" max="14658" width="2" style="384" customWidth="1"/>
    <col min="14659" max="14860" width="5" style="384"/>
    <col min="14861" max="14861" width="4" style="384" customWidth="1"/>
    <col min="14862" max="14862" width="2.44140625" style="384" customWidth="1"/>
    <col min="14863" max="14863" width="14.88671875" style="384" customWidth="1"/>
    <col min="14864" max="14865" width="3.6640625" style="384" customWidth="1"/>
    <col min="14866" max="14866" width="0" style="384" hidden="1" customWidth="1"/>
    <col min="14867" max="14867" width="17.88671875" style="384" customWidth="1"/>
    <col min="14868" max="14870" width="9.6640625" style="384" customWidth="1"/>
    <col min="14871" max="14871" width="6.5546875" style="384" customWidth="1"/>
    <col min="14872" max="14885" width="5.44140625" style="384" customWidth="1"/>
    <col min="14886" max="14888" width="5.33203125" style="384" customWidth="1"/>
    <col min="14889" max="14913" width="5" style="384" customWidth="1"/>
    <col min="14914" max="14914" width="2" style="384" customWidth="1"/>
    <col min="14915" max="15116" width="5" style="384"/>
    <col min="15117" max="15117" width="4" style="384" customWidth="1"/>
    <col min="15118" max="15118" width="2.44140625" style="384" customWidth="1"/>
    <col min="15119" max="15119" width="14.88671875" style="384" customWidth="1"/>
    <col min="15120" max="15121" width="3.6640625" style="384" customWidth="1"/>
    <col min="15122" max="15122" width="0" style="384" hidden="1" customWidth="1"/>
    <col min="15123" max="15123" width="17.88671875" style="384" customWidth="1"/>
    <col min="15124" max="15126" width="9.6640625" style="384" customWidth="1"/>
    <col min="15127" max="15127" width="6.5546875" style="384" customWidth="1"/>
    <col min="15128" max="15141" width="5.44140625" style="384" customWidth="1"/>
    <col min="15142" max="15144" width="5.33203125" style="384" customWidth="1"/>
    <col min="15145" max="15169" width="5" style="384" customWidth="1"/>
    <col min="15170" max="15170" width="2" style="384" customWidth="1"/>
    <col min="15171" max="15372" width="5" style="384"/>
    <col min="15373" max="15373" width="4" style="384" customWidth="1"/>
    <col min="15374" max="15374" width="2.44140625" style="384" customWidth="1"/>
    <col min="15375" max="15375" width="14.88671875" style="384" customWidth="1"/>
    <col min="15376" max="15377" width="3.6640625" style="384" customWidth="1"/>
    <col min="15378" max="15378" width="0" style="384" hidden="1" customWidth="1"/>
    <col min="15379" max="15379" width="17.88671875" style="384" customWidth="1"/>
    <col min="15380" max="15382" width="9.6640625" style="384" customWidth="1"/>
    <col min="15383" max="15383" width="6.5546875" style="384" customWidth="1"/>
    <col min="15384" max="15397" width="5.44140625" style="384" customWidth="1"/>
    <col min="15398" max="15400" width="5.33203125" style="384" customWidth="1"/>
    <col min="15401" max="15425" width="5" style="384" customWidth="1"/>
    <col min="15426" max="15426" width="2" style="384" customWidth="1"/>
    <col min="15427" max="15628" width="5" style="384"/>
    <col min="15629" max="15629" width="4" style="384" customWidth="1"/>
    <col min="15630" max="15630" width="2.44140625" style="384" customWidth="1"/>
    <col min="15631" max="15631" width="14.88671875" style="384" customWidth="1"/>
    <col min="15632" max="15633" width="3.6640625" style="384" customWidth="1"/>
    <col min="15634" max="15634" width="0" style="384" hidden="1" customWidth="1"/>
    <col min="15635" max="15635" width="17.88671875" style="384" customWidth="1"/>
    <col min="15636" max="15638" width="9.6640625" style="384" customWidth="1"/>
    <col min="15639" max="15639" width="6.5546875" style="384" customWidth="1"/>
    <col min="15640" max="15653" width="5.44140625" style="384" customWidth="1"/>
    <col min="15654" max="15656" width="5.33203125" style="384" customWidth="1"/>
    <col min="15657" max="15681" width="5" style="384" customWidth="1"/>
    <col min="15682" max="15682" width="2" style="384" customWidth="1"/>
    <col min="15683" max="15884" width="5" style="384"/>
    <col min="15885" max="15885" width="4" style="384" customWidth="1"/>
    <col min="15886" max="15886" width="2.44140625" style="384" customWidth="1"/>
    <col min="15887" max="15887" width="14.88671875" style="384" customWidth="1"/>
    <col min="15888" max="15889" width="3.6640625" style="384" customWidth="1"/>
    <col min="15890" max="15890" width="0" style="384" hidden="1" customWidth="1"/>
    <col min="15891" max="15891" width="17.88671875" style="384" customWidth="1"/>
    <col min="15892" max="15894" width="9.6640625" style="384" customWidth="1"/>
    <col min="15895" max="15895" width="6.5546875" style="384" customWidth="1"/>
    <col min="15896" max="15909" width="5.44140625" style="384" customWidth="1"/>
    <col min="15910" max="15912" width="5.33203125" style="384" customWidth="1"/>
    <col min="15913" max="15937" width="5" style="384" customWidth="1"/>
    <col min="15938" max="15938" width="2" style="384" customWidth="1"/>
    <col min="15939" max="16140" width="5" style="384"/>
    <col min="16141" max="16141" width="4" style="384" customWidth="1"/>
    <col min="16142" max="16142" width="2.44140625" style="384" customWidth="1"/>
    <col min="16143" max="16143" width="14.88671875" style="384" customWidth="1"/>
    <col min="16144" max="16145" width="3.6640625" style="384" customWidth="1"/>
    <col min="16146" max="16146" width="0" style="384" hidden="1" customWidth="1"/>
    <col min="16147" max="16147" width="17.88671875" style="384" customWidth="1"/>
    <col min="16148" max="16150" width="9.6640625" style="384" customWidth="1"/>
    <col min="16151" max="16151" width="6.5546875" style="384" customWidth="1"/>
    <col min="16152" max="16165" width="5.44140625" style="384" customWidth="1"/>
    <col min="16166" max="16168" width="5.33203125" style="384" customWidth="1"/>
    <col min="16169" max="16193" width="5" style="384" customWidth="1"/>
    <col min="16194" max="16194" width="2" style="384" customWidth="1"/>
    <col min="16195" max="16384" width="5" style="384"/>
  </cols>
  <sheetData>
    <row r="2" spans="3:65" ht="7.5" customHeight="1">
      <c r="C2" s="381"/>
      <c r="D2" s="381"/>
      <c r="E2" s="381"/>
      <c r="F2" s="381"/>
      <c r="G2" s="563"/>
      <c r="H2" s="382"/>
      <c r="I2" s="381"/>
      <c r="J2" s="383"/>
      <c r="K2" s="381"/>
      <c r="L2" s="381"/>
      <c r="M2" s="384"/>
      <c r="N2" s="385"/>
      <c r="O2" s="384"/>
      <c r="P2" s="384"/>
      <c r="Q2" s="386"/>
      <c r="R2" s="386"/>
      <c r="S2" s="386"/>
      <c r="T2" s="386"/>
      <c r="U2" s="387"/>
      <c r="V2" s="387"/>
      <c r="W2" s="387"/>
      <c r="X2" s="384"/>
      <c r="Y2" s="384"/>
    </row>
    <row r="3" spans="3:65" ht="37.5" customHeight="1">
      <c r="C3" s="717" t="s">
        <v>1100</v>
      </c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717"/>
      <c r="AU3" s="717"/>
      <c r="AV3" s="717"/>
      <c r="AW3" s="717"/>
      <c r="AX3" s="717"/>
      <c r="AY3" s="717"/>
      <c r="AZ3" s="717"/>
      <c r="BA3" s="717"/>
      <c r="BB3" s="717"/>
      <c r="BC3" s="717"/>
      <c r="BD3" s="717"/>
      <c r="BE3" s="717"/>
      <c r="BF3" s="717"/>
      <c r="BG3" s="717"/>
      <c r="BH3" s="717"/>
      <c r="BI3" s="717"/>
      <c r="BJ3" s="717"/>
      <c r="BK3" s="717"/>
      <c r="BL3" s="717"/>
      <c r="BM3" s="717"/>
    </row>
    <row r="4" spans="3:65" ht="10.5" customHeight="1" thickBot="1"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  <c r="X4" s="717"/>
      <c r="Y4" s="717"/>
      <c r="Z4" s="717"/>
      <c r="AA4" s="717"/>
      <c r="AB4" s="717"/>
      <c r="AC4" s="717"/>
      <c r="AD4" s="717"/>
      <c r="AE4" s="717"/>
      <c r="AF4" s="717"/>
      <c r="AG4" s="717"/>
      <c r="AH4" s="717"/>
      <c r="AI4" s="717"/>
      <c r="AJ4" s="717"/>
      <c r="AK4" s="717"/>
      <c r="AL4" s="717"/>
      <c r="AM4" s="717"/>
      <c r="AN4" s="717"/>
      <c r="AO4" s="717"/>
      <c r="AP4" s="717"/>
      <c r="AQ4" s="717"/>
      <c r="AR4" s="717"/>
      <c r="AS4" s="717"/>
      <c r="AT4" s="717"/>
      <c r="AU4" s="717"/>
      <c r="AV4" s="717"/>
      <c r="AW4" s="717"/>
      <c r="AX4" s="717"/>
      <c r="AY4" s="717"/>
      <c r="AZ4" s="717"/>
      <c r="BA4" s="717"/>
      <c r="BB4" s="717"/>
      <c r="BC4" s="717"/>
      <c r="BD4" s="717"/>
      <c r="BE4" s="717"/>
      <c r="BF4" s="717"/>
      <c r="BG4" s="717"/>
      <c r="BH4" s="717"/>
      <c r="BI4" s="717"/>
      <c r="BJ4" s="717"/>
      <c r="BK4" s="717"/>
      <c r="BL4" s="717"/>
      <c r="BM4" s="717"/>
    </row>
    <row r="5" spans="3:65" ht="24" customHeight="1">
      <c r="C5" s="388" t="s">
        <v>1081</v>
      </c>
      <c r="D5" s="389"/>
      <c r="E5" s="389"/>
      <c r="F5" s="389"/>
      <c r="G5" s="390" t="str">
        <f>+Resúmen!I4</f>
        <v>"CAMBIO DE LINEAS DE  IMPULSION DE AGUA POTABLE EN EL DISTRITO DE LA MOLINA"</v>
      </c>
      <c r="H5" s="391"/>
      <c r="I5" s="391"/>
      <c r="J5" s="392"/>
      <c r="K5" s="391"/>
      <c r="L5" s="391"/>
      <c r="M5" s="391"/>
      <c r="N5" s="391"/>
      <c r="O5" s="391"/>
      <c r="P5" s="391"/>
      <c r="Q5" s="393"/>
      <c r="R5" s="391"/>
      <c r="S5" s="391"/>
      <c r="T5" s="391"/>
      <c r="U5" s="391"/>
      <c r="V5" s="391"/>
      <c r="W5" s="391"/>
      <c r="X5" s="391"/>
      <c r="Y5" s="391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4"/>
      <c r="AY5" s="394"/>
      <c r="AZ5" s="394"/>
      <c r="BA5" s="394"/>
      <c r="BB5" s="394"/>
      <c r="BC5" s="394"/>
      <c r="BD5" s="394"/>
      <c r="BE5" s="394"/>
      <c r="BF5" s="394"/>
      <c r="BG5" s="394"/>
      <c r="BH5" s="394"/>
      <c r="BI5" s="394"/>
      <c r="BJ5" s="394"/>
      <c r="BK5" s="394"/>
      <c r="BL5" s="394"/>
      <c r="BM5" s="395"/>
    </row>
    <row r="6" spans="3:65" ht="24" customHeight="1">
      <c r="C6" s="396" t="str">
        <f>+[1]Resúmen!C5</f>
        <v>Fórmula:</v>
      </c>
      <c r="D6" s="397"/>
      <c r="E6" s="397"/>
      <c r="F6" s="397"/>
      <c r="G6" s="398" t="str">
        <f>+Resúmen!I5</f>
        <v>LÍNEAS DE IMPULSIÓN</v>
      </c>
      <c r="H6" s="399"/>
      <c r="I6" s="399"/>
      <c r="J6" s="400"/>
      <c r="K6" s="399"/>
      <c r="L6" s="399"/>
      <c r="M6" s="399"/>
      <c r="N6" s="399"/>
      <c r="O6" s="399"/>
      <c r="P6" s="399"/>
      <c r="Q6" s="401"/>
      <c r="R6" s="399"/>
      <c r="S6" s="399"/>
      <c r="T6" s="399"/>
      <c r="U6" s="399"/>
      <c r="V6" s="399"/>
      <c r="W6" s="399"/>
      <c r="X6" s="399"/>
      <c r="Y6" s="399"/>
      <c r="Z6" s="402"/>
      <c r="AA6" s="402"/>
      <c r="AB6" s="402"/>
      <c r="AC6" s="402"/>
      <c r="AD6" s="402"/>
      <c r="AE6" s="402"/>
      <c r="AF6" s="402"/>
      <c r="AG6" s="402"/>
      <c r="AH6" s="402"/>
      <c r="AI6" s="402"/>
      <c r="AJ6" s="402"/>
      <c r="AK6" s="402"/>
      <c r="AL6" s="402"/>
      <c r="AM6" s="402"/>
      <c r="AN6" s="402"/>
      <c r="AO6" s="402"/>
      <c r="AP6" s="402"/>
      <c r="AQ6" s="402"/>
      <c r="AR6" s="402"/>
      <c r="AS6" s="402"/>
      <c r="AT6" s="402"/>
      <c r="AU6" s="402"/>
      <c r="AV6" s="402"/>
      <c r="AW6" s="402"/>
      <c r="AX6" s="402"/>
      <c r="AY6" s="402"/>
      <c r="AZ6" s="402"/>
      <c r="BA6" s="402"/>
      <c r="BB6" s="402"/>
      <c r="BC6" s="402"/>
      <c r="BD6" s="402"/>
      <c r="BE6" s="402"/>
      <c r="BF6" s="402"/>
      <c r="BG6" s="402"/>
      <c r="BH6" s="402"/>
      <c r="BI6" s="402"/>
      <c r="BJ6" s="402"/>
      <c r="BK6" s="402"/>
      <c r="BL6" s="402"/>
      <c r="BM6" s="403"/>
    </row>
    <row r="7" spans="3:65" ht="24" customHeight="1" thickBot="1">
      <c r="C7" s="404" t="s">
        <v>1082</v>
      </c>
      <c r="D7" s="405"/>
      <c r="E7" s="405"/>
      <c r="F7" s="405"/>
      <c r="G7" s="46" t="str">
        <f>+Resúmen!I7</f>
        <v>LIMA - LIMA - LA MOLINA</v>
      </c>
      <c r="H7" s="10"/>
      <c r="I7" s="10"/>
      <c r="J7" s="60"/>
      <c r="K7" s="10"/>
      <c r="L7" s="10"/>
      <c r="M7" s="10"/>
      <c r="N7" s="10"/>
      <c r="O7" s="10"/>
      <c r="P7" s="10"/>
      <c r="Q7" s="406"/>
      <c r="R7" s="10"/>
      <c r="S7" s="10"/>
      <c r="T7" s="10"/>
      <c r="U7" s="10"/>
      <c r="V7" s="10"/>
      <c r="W7" s="10"/>
      <c r="X7" s="10"/>
      <c r="Y7" s="10"/>
      <c r="Z7" s="407"/>
      <c r="AA7" s="407"/>
      <c r="AB7" s="407"/>
      <c r="AC7" s="407"/>
      <c r="AD7" s="407"/>
      <c r="AE7" s="407"/>
      <c r="AF7" s="407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7"/>
      <c r="AY7" s="407"/>
      <c r="AZ7" s="407"/>
      <c r="BA7" s="407"/>
      <c r="BB7" s="407"/>
      <c r="BC7" s="407"/>
      <c r="BD7" s="407"/>
      <c r="BE7" s="407"/>
      <c r="BF7" s="407"/>
      <c r="BG7" s="407"/>
      <c r="BH7" s="407"/>
      <c r="BI7" s="407"/>
      <c r="BJ7" s="407"/>
      <c r="BK7" s="407"/>
      <c r="BL7" s="407"/>
      <c r="BM7" s="408"/>
    </row>
    <row r="8" spans="3:65" ht="4.5" customHeight="1" thickBot="1">
      <c r="C8" s="409"/>
      <c r="D8" s="405"/>
      <c r="E8" s="405"/>
      <c r="F8" s="405"/>
      <c r="G8" s="564"/>
      <c r="H8" s="10"/>
      <c r="I8" s="10"/>
      <c r="J8" s="60"/>
      <c r="K8" s="10"/>
      <c r="L8" s="10"/>
      <c r="M8" s="10"/>
      <c r="N8" s="10"/>
      <c r="O8" s="10"/>
      <c r="P8" s="10"/>
      <c r="Q8" s="406"/>
      <c r="R8" s="10"/>
      <c r="S8" s="10"/>
      <c r="T8" s="10"/>
      <c r="U8" s="10"/>
      <c r="V8" s="10"/>
      <c r="W8" s="10"/>
      <c r="X8" s="10"/>
      <c r="Y8" s="10"/>
    </row>
    <row r="9" spans="3:65" s="411" customFormat="1" ht="22.5" customHeight="1">
      <c r="C9" s="718" t="s">
        <v>1083</v>
      </c>
      <c r="D9" s="721" t="s">
        <v>1084</v>
      </c>
      <c r="E9" s="721"/>
      <c r="F9" s="721"/>
      <c r="G9" s="772" t="s">
        <v>225</v>
      </c>
      <c r="H9" s="772"/>
      <c r="I9" s="772"/>
      <c r="J9" s="772"/>
      <c r="K9" s="410"/>
      <c r="L9" s="726" t="s">
        <v>1085</v>
      </c>
      <c r="M9" s="726"/>
      <c r="N9" s="726"/>
      <c r="O9" s="726"/>
      <c r="P9" s="726"/>
      <c r="Q9" s="726"/>
      <c r="R9" s="726" t="s">
        <v>1086</v>
      </c>
      <c r="S9" s="726"/>
      <c r="T9" s="726"/>
      <c r="U9" s="726"/>
      <c r="V9" s="726"/>
      <c r="W9" s="726"/>
      <c r="X9" s="726" t="s">
        <v>1087</v>
      </c>
      <c r="Y9" s="726"/>
      <c r="Z9" s="726"/>
      <c r="AA9" s="726"/>
      <c r="AB9" s="726"/>
      <c r="AC9" s="726"/>
      <c r="AD9" s="726" t="s">
        <v>1088</v>
      </c>
      <c r="AE9" s="726"/>
      <c r="AF9" s="726"/>
      <c r="AG9" s="726"/>
      <c r="AH9" s="726"/>
      <c r="AI9" s="726"/>
      <c r="AJ9" s="713" t="s">
        <v>1105</v>
      </c>
      <c r="AK9" s="713"/>
      <c r="AL9" s="713"/>
      <c r="AM9" s="713"/>
      <c r="AN9" s="713"/>
      <c r="AO9" s="713"/>
      <c r="AP9" s="713" t="s">
        <v>1106</v>
      </c>
      <c r="AQ9" s="713"/>
      <c r="AR9" s="713"/>
      <c r="AS9" s="713"/>
      <c r="AT9" s="713"/>
      <c r="AU9" s="713"/>
      <c r="AV9" s="713" t="s">
        <v>1109</v>
      </c>
      <c r="AW9" s="713"/>
      <c r="AX9" s="713"/>
      <c r="AY9" s="713"/>
      <c r="AZ9" s="713"/>
      <c r="BA9" s="713"/>
      <c r="BB9" s="713" t="s">
        <v>1107</v>
      </c>
      <c r="BC9" s="713"/>
      <c r="BD9" s="713"/>
      <c r="BE9" s="713"/>
      <c r="BF9" s="713"/>
      <c r="BG9" s="713"/>
      <c r="BH9" s="714" t="s">
        <v>1108</v>
      </c>
      <c r="BI9" s="715"/>
      <c r="BJ9" s="715"/>
      <c r="BK9" s="715"/>
      <c r="BL9" s="715"/>
      <c r="BM9" s="716"/>
    </row>
    <row r="10" spans="3:65" s="411" customFormat="1" ht="18" hidden="1" customHeight="1">
      <c r="C10" s="719"/>
      <c r="D10" s="722"/>
      <c r="E10" s="722"/>
      <c r="F10" s="722"/>
      <c r="G10" s="412"/>
      <c r="H10" s="412"/>
      <c r="I10" s="412"/>
      <c r="J10" s="412"/>
      <c r="K10" s="412"/>
      <c r="L10" s="413">
        <v>11.25</v>
      </c>
      <c r="M10" s="414">
        <f>+L10</f>
        <v>11.25</v>
      </c>
      <c r="N10" s="414">
        <f t="shared" ref="N10:AI10" si="0">+M10</f>
        <v>11.25</v>
      </c>
      <c r="O10" s="414">
        <f t="shared" si="0"/>
        <v>11.25</v>
      </c>
      <c r="P10" s="414">
        <f t="shared" si="0"/>
        <v>11.25</v>
      </c>
      <c r="Q10" s="415">
        <f t="shared" si="0"/>
        <v>11.25</v>
      </c>
      <c r="R10" s="413">
        <v>22.5</v>
      </c>
      <c r="S10" s="414">
        <f t="shared" si="0"/>
        <v>22.5</v>
      </c>
      <c r="T10" s="414">
        <f t="shared" si="0"/>
        <v>22.5</v>
      </c>
      <c r="U10" s="414">
        <f t="shared" si="0"/>
        <v>22.5</v>
      </c>
      <c r="V10" s="414">
        <f t="shared" si="0"/>
        <v>22.5</v>
      </c>
      <c r="W10" s="415">
        <f t="shared" si="0"/>
        <v>22.5</v>
      </c>
      <c r="X10" s="413">
        <v>45</v>
      </c>
      <c r="Y10" s="414">
        <f t="shared" si="0"/>
        <v>45</v>
      </c>
      <c r="Z10" s="414">
        <f t="shared" si="0"/>
        <v>45</v>
      </c>
      <c r="AA10" s="414">
        <f t="shared" si="0"/>
        <v>45</v>
      </c>
      <c r="AB10" s="414">
        <f t="shared" si="0"/>
        <v>45</v>
      </c>
      <c r="AC10" s="415">
        <f t="shared" si="0"/>
        <v>45</v>
      </c>
      <c r="AD10" s="413">
        <v>90</v>
      </c>
      <c r="AE10" s="414">
        <f t="shared" si="0"/>
        <v>90</v>
      </c>
      <c r="AF10" s="414">
        <f t="shared" si="0"/>
        <v>90</v>
      </c>
      <c r="AG10" s="414">
        <f t="shared" si="0"/>
        <v>90</v>
      </c>
      <c r="AH10" s="414">
        <f t="shared" si="0"/>
        <v>90</v>
      </c>
      <c r="AI10" s="415">
        <f t="shared" si="0"/>
        <v>90</v>
      </c>
      <c r="AJ10" s="413" t="s">
        <v>1089</v>
      </c>
      <c r="AK10" s="414" t="s">
        <v>1089</v>
      </c>
      <c r="AL10" s="414" t="s">
        <v>1089</v>
      </c>
      <c r="AM10" s="414" t="s">
        <v>1089</v>
      </c>
      <c r="AN10" s="414" t="s">
        <v>1089</v>
      </c>
      <c r="AO10" s="415" t="s">
        <v>1089</v>
      </c>
      <c r="AP10" s="413" t="s">
        <v>1089</v>
      </c>
      <c r="AQ10" s="414" t="s">
        <v>1089</v>
      </c>
      <c r="AR10" s="414" t="s">
        <v>1089</v>
      </c>
      <c r="AS10" s="414" t="s">
        <v>1089</v>
      </c>
      <c r="AT10" s="414" t="s">
        <v>1089</v>
      </c>
      <c r="AU10" s="415" t="s">
        <v>1089</v>
      </c>
      <c r="AV10" s="413" t="s">
        <v>1089</v>
      </c>
      <c r="AW10" s="414" t="s">
        <v>1089</v>
      </c>
      <c r="AX10" s="414" t="s">
        <v>1089</v>
      </c>
      <c r="AY10" s="414" t="s">
        <v>1089</v>
      </c>
      <c r="AZ10" s="414" t="s">
        <v>1089</v>
      </c>
      <c r="BA10" s="415" t="s">
        <v>1089</v>
      </c>
      <c r="BB10" s="413" t="s">
        <v>1096</v>
      </c>
      <c r="BC10" s="414" t="str">
        <f>+BB10</f>
        <v>TEE</v>
      </c>
      <c r="BD10" s="414" t="str">
        <f>+BC10</f>
        <v>TEE</v>
      </c>
      <c r="BE10" s="414" t="str">
        <f>+BD10</f>
        <v>TEE</v>
      </c>
      <c r="BF10" s="414" t="str">
        <f>+BE10</f>
        <v>TEE</v>
      </c>
      <c r="BG10" s="415" t="s">
        <v>1089</v>
      </c>
      <c r="BH10" s="413" t="s">
        <v>1096</v>
      </c>
      <c r="BI10" s="414" t="str">
        <f>+BH10</f>
        <v>TEE</v>
      </c>
      <c r="BJ10" s="414" t="str">
        <f>+BI10</f>
        <v>TEE</v>
      </c>
      <c r="BK10" s="414" t="str">
        <f>+BJ10</f>
        <v>TEE</v>
      </c>
      <c r="BL10" s="414" t="str">
        <f>+BK10</f>
        <v>TEE</v>
      </c>
      <c r="BM10" s="416" t="str">
        <f>+BL10</f>
        <v>TEE</v>
      </c>
    </row>
    <row r="11" spans="3:65" s="411" customFormat="1" ht="22.5" customHeight="1" thickBot="1">
      <c r="C11" s="720"/>
      <c r="D11" s="723"/>
      <c r="E11" s="723"/>
      <c r="F11" s="723"/>
      <c r="G11" s="417" t="s">
        <v>1092</v>
      </c>
      <c r="H11" s="417" t="s">
        <v>1093</v>
      </c>
      <c r="I11" s="417" t="s">
        <v>1094</v>
      </c>
      <c r="J11" s="417" t="s">
        <v>132</v>
      </c>
      <c r="K11" s="418" t="s">
        <v>1095</v>
      </c>
      <c r="L11" s="419">
        <v>100</v>
      </c>
      <c r="M11" s="420">
        <v>150</v>
      </c>
      <c r="N11" s="420">
        <v>200</v>
      </c>
      <c r="O11" s="420">
        <v>250</v>
      </c>
      <c r="P11" s="421">
        <v>300</v>
      </c>
      <c r="Q11" s="422">
        <v>350</v>
      </c>
      <c r="R11" s="419">
        <v>100</v>
      </c>
      <c r="S11" s="420">
        <v>150</v>
      </c>
      <c r="T11" s="420">
        <v>200</v>
      </c>
      <c r="U11" s="420">
        <v>250</v>
      </c>
      <c r="V11" s="421">
        <v>300</v>
      </c>
      <c r="W11" s="422">
        <v>350</v>
      </c>
      <c r="X11" s="419">
        <v>100</v>
      </c>
      <c r="Y11" s="420">
        <v>150</v>
      </c>
      <c r="Z11" s="420">
        <v>200</v>
      </c>
      <c r="AA11" s="420">
        <v>250</v>
      </c>
      <c r="AB11" s="421">
        <v>300</v>
      </c>
      <c r="AC11" s="422">
        <v>350</v>
      </c>
      <c r="AD11" s="419">
        <v>100</v>
      </c>
      <c r="AE11" s="420">
        <v>150</v>
      </c>
      <c r="AF11" s="420">
        <v>200</v>
      </c>
      <c r="AG11" s="420">
        <v>250</v>
      </c>
      <c r="AH11" s="421">
        <v>300</v>
      </c>
      <c r="AI11" s="422">
        <v>350</v>
      </c>
      <c r="AJ11" s="419">
        <v>50</v>
      </c>
      <c r="AK11" s="420">
        <v>80</v>
      </c>
      <c r="AL11" s="420">
        <v>100</v>
      </c>
      <c r="AM11" s="420">
        <v>150</v>
      </c>
      <c r="AN11" s="421">
        <v>200</v>
      </c>
      <c r="AO11" s="422">
        <v>100</v>
      </c>
      <c r="AP11" s="419">
        <v>50</v>
      </c>
      <c r="AQ11" s="420">
        <v>100</v>
      </c>
      <c r="AR11" s="420">
        <v>150</v>
      </c>
      <c r="AS11" s="420">
        <v>200</v>
      </c>
      <c r="AT11" s="421">
        <v>250</v>
      </c>
      <c r="AU11" s="422">
        <v>300</v>
      </c>
      <c r="AV11" s="419">
        <v>50</v>
      </c>
      <c r="AW11" s="420">
        <v>100</v>
      </c>
      <c r="AX11" s="420">
        <v>150</v>
      </c>
      <c r="AY11" s="420">
        <v>200</v>
      </c>
      <c r="AZ11" s="421">
        <v>250</v>
      </c>
      <c r="BA11" s="422">
        <v>300</v>
      </c>
      <c r="BB11" s="419">
        <v>100</v>
      </c>
      <c r="BC11" s="420">
        <v>150</v>
      </c>
      <c r="BD11" s="420">
        <v>200</v>
      </c>
      <c r="BE11" s="420">
        <v>250</v>
      </c>
      <c r="BF11" s="421">
        <v>300</v>
      </c>
      <c r="BG11" s="422">
        <v>350</v>
      </c>
      <c r="BH11" s="419">
        <v>100</v>
      </c>
      <c r="BI11" s="420">
        <v>200</v>
      </c>
      <c r="BJ11" s="420">
        <v>250</v>
      </c>
      <c r="BK11" s="420">
        <v>300</v>
      </c>
      <c r="BL11" s="421">
        <v>350</v>
      </c>
      <c r="BM11" s="423">
        <v>400</v>
      </c>
    </row>
    <row r="12" spans="3:65" s="434" customFormat="1" ht="4.5" hidden="1" customHeight="1">
      <c r="C12" s="424"/>
      <c r="D12" s="425"/>
      <c r="E12" s="426"/>
      <c r="F12" s="427"/>
      <c r="G12" s="562"/>
      <c r="H12" s="428"/>
      <c r="I12" s="410"/>
      <c r="J12" s="428"/>
      <c r="K12" s="429"/>
      <c r="L12" s="430">
        <f>+IF(L55&gt;0,1,0)</f>
        <v>1</v>
      </c>
      <c r="M12" s="431">
        <f t="shared" ref="M12:BM12" si="1">+IF(M55&gt;0,1,0)</f>
        <v>1</v>
      </c>
      <c r="N12" s="431">
        <f t="shared" si="1"/>
        <v>0</v>
      </c>
      <c r="O12" s="431">
        <f t="shared" si="1"/>
        <v>1</v>
      </c>
      <c r="P12" s="431">
        <f t="shared" si="1"/>
        <v>1</v>
      </c>
      <c r="Q12" s="432">
        <f t="shared" si="1"/>
        <v>1</v>
      </c>
      <c r="R12" s="430">
        <f t="shared" si="1"/>
        <v>1</v>
      </c>
      <c r="S12" s="431">
        <f t="shared" si="1"/>
        <v>1</v>
      </c>
      <c r="T12" s="431">
        <f t="shared" si="1"/>
        <v>1</v>
      </c>
      <c r="U12" s="431">
        <f t="shared" si="1"/>
        <v>1</v>
      </c>
      <c r="V12" s="431">
        <f t="shared" si="1"/>
        <v>1</v>
      </c>
      <c r="W12" s="432">
        <f t="shared" si="1"/>
        <v>1</v>
      </c>
      <c r="X12" s="430">
        <f t="shared" si="1"/>
        <v>1</v>
      </c>
      <c r="Y12" s="431">
        <f t="shared" si="1"/>
        <v>1</v>
      </c>
      <c r="Z12" s="431">
        <f t="shared" si="1"/>
        <v>1</v>
      </c>
      <c r="AA12" s="431">
        <f t="shared" si="1"/>
        <v>1</v>
      </c>
      <c r="AB12" s="431">
        <f t="shared" si="1"/>
        <v>1</v>
      </c>
      <c r="AC12" s="432">
        <f t="shared" si="1"/>
        <v>1</v>
      </c>
      <c r="AD12" s="430">
        <f t="shared" si="1"/>
        <v>1</v>
      </c>
      <c r="AE12" s="431">
        <f t="shared" si="1"/>
        <v>1</v>
      </c>
      <c r="AF12" s="431">
        <f t="shared" si="1"/>
        <v>0</v>
      </c>
      <c r="AG12" s="431">
        <f t="shared" si="1"/>
        <v>1</v>
      </c>
      <c r="AH12" s="431">
        <f t="shared" si="1"/>
        <v>0</v>
      </c>
      <c r="AI12" s="432">
        <f t="shared" si="1"/>
        <v>0</v>
      </c>
      <c r="AJ12" s="430">
        <f t="shared" si="1"/>
        <v>0</v>
      </c>
      <c r="AK12" s="431">
        <f t="shared" si="1"/>
        <v>0</v>
      </c>
      <c r="AL12" s="431">
        <f t="shared" si="1"/>
        <v>1</v>
      </c>
      <c r="AM12" s="431">
        <f t="shared" si="1"/>
        <v>0</v>
      </c>
      <c r="AN12" s="431">
        <f t="shared" si="1"/>
        <v>0</v>
      </c>
      <c r="AO12" s="432">
        <f t="shared" si="1"/>
        <v>0</v>
      </c>
      <c r="AP12" s="430">
        <f t="shared" ref="AP12:BA12" si="2">+IF(AP55&gt;0,1,0)</f>
        <v>0</v>
      </c>
      <c r="AQ12" s="431">
        <f t="shared" si="2"/>
        <v>0</v>
      </c>
      <c r="AR12" s="431">
        <f t="shared" si="2"/>
        <v>1</v>
      </c>
      <c r="AS12" s="431">
        <f t="shared" si="2"/>
        <v>1</v>
      </c>
      <c r="AT12" s="431">
        <f t="shared" si="2"/>
        <v>0</v>
      </c>
      <c r="AU12" s="432">
        <f t="shared" si="2"/>
        <v>0</v>
      </c>
      <c r="AV12" s="430">
        <f t="shared" si="2"/>
        <v>0</v>
      </c>
      <c r="AW12" s="431">
        <f t="shared" si="2"/>
        <v>0</v>
      </c>
      <c r="AX12" s="431">
        <f t="shared" si="2"/>
        <v>0</v>
      </c>
      <c r="AY12" s="431">
        <f t="shared" si="2"/>
        <v>1</v>
      </c>
      <c r="AZ12" s="431">
        <f t="shared" si="2"/>
        <v>0</v>
      </c>
      <c r="BA12" s="432">
        <f t="shared" si="2"/>
        <v>0</v>
      </c>
      <c r="BB12" s="430">
        <f t="shared" ref="BB12:BG12" si="3">+IF(BB55&gt;0,1,0)</f>
        <v>1</v>
      </c>
      <c r="BC12" s="431">
        <f t="shared" si="3"/>
        <v>0</v>
      </c>
      <c r="BD12" s="431">
        <f t="shared" si="3"/>
        <v>1</v>
      </c>
      <c r="BE12" s="431">
        <f t="shared" si="3"/>
        <v>1</v>
      </c>
      <c r="BF12" s="431">
        <f t="shared" si="3"/>
        <v>1</v>
      </c>
      <c r="BG12" s="432">
        <f t="shared" si="3"/>
        <v>0</v>
      </c>
      <c r="BH12" s="430">
        <f t="shared" si="1"/>
        <v>0</v>
      </c>
      <c r="BI12" s="431">
        <f t="shared" si="1"/>
        <v>1</v>
      </c>
      <c r="BJ12" s="431">
        <f t="shared" si="1"/>
        <v>1</v>
      </c>
      <c r="BK12" s="431">
        <f t="shared" si="1"/>
        <v>1</v>
      </c>
      <c r="BL12" s="431">
        <f t="shared" si="1"/>
        <v>1</v>
      </c>
      <c r="BM12" s="433">
        <f t="shared" si="1"/>
        <v>0</v>
      </c>
    </row>
    <row r="13" spans="3:65" s="434" customFormat="1" ht="15" hidden="1" customHeight="1">
      <c r="C13" s="435" t="s">
        <v>1101</v>
      </c>
      <c r="D13" s="436"/>
      <c r="E13" s="437"/>
      <c r="F13" s="438"/>
      <c r="G13" s="565"/>
      <c r="H13" s="440"/>
      <c r="I13" s="441"/>
      <c r="J13" s="442"/>
      <c r="K13" s="443"/>
      <c r="L13" s="444">
        <f t="shared" ref="L13:S13" si="4">+IF($G13="CODO",IF($I13=11.25,IF($J13=L$11,$K13,0),0),0)</f>
        <v>0</v>
      </c>
      <c r="M13" s="445">
        <f t="shared" si="4"/>
        <v>0</v>
      </c>
      <c r="N13" s="445">
        <f t="shared" si="4"/>
        <v>0</v>
      </c>
      <c r="O13" s="445">
        <f t="shared" si="4"/>
        <v>0</v>
      </c>
      <c r="P13" s="445">
        <f t="shared" si="4"/>
        <v>0</v>
      </c>
      <c r="Q13" s="446">
        <f t="shared" si="4"/>
        <v>0</v>
      </c>
      <c r="R13" s="444">
        <f t="shared" si="4"/>
        <v>0</v>
      </c>
      <c r="S13" s="445">
        <f t="shared" si="4"/>
        <v>0</v>
      </c>
      <c r="T13" s="447"/>
      <c r="U13" s="447"/>
      <c r="V13" s="447"/>
      <c r="W13" s="448"/>
      <c r="X13" s="449"/>
      <c r="Y13" s="447"/>
      <c r="Z13" s="450"/>
      <c r="AA13" s="450"/>
      <c r="AB13" s="450"/>
      <c r="AC13" s="451"/>
      <c r="AD13" s="452"/>
      <c r="AE13" s="450"/>
      <c r="AF13" s="450"/>
      <c r="AG13" s="450"/>
      <c r="AH13" s="450"/>
      <c r="AI13" s="451"/>
      <c r="AJ13" s="452"/>
      <c r="AK13" s="450"/>
      <c r="AL13" s="450"/>
      <c r="AM13" s="450"/>
      <c r="AN13" s="450"/>
      <c r="AO13" s="451"/>
      <c r="AP13" s="452"/>
      <c r="AQ13" s="450"/>
      <c r="AR13" s="450"/>
      <c r="AS13" s="450"/>
      <c r="AT13" s="450"/>
      <c r="AU13" s="451"/>
      <c r="AV13" s="452"/>
      <c r="AW13" s="450"/>
      <c r="AX13" s="450"/>
      <c r="AY13" s="450"/>
      <c r="AZ13" s="450"/>
      <c r="BA13" s="451"/>
      <c r="BB13" s="452"/>
      <c r="BC13" s="450"/>
      <c r="BD13" s="450"/>
      <c r="BE13" s="450"/>
      <c r="BF13" s="450"/>
      <c r="BG13" s="451"/>
      <c r="BH13" s="452"/>
      <c r="BI13" s="450"/>
      <c r="BJ13" s="450"/>
      <c r="BK13" s="450"/>
      <c r="BL13" s="450"/>
      <c r="BM13" s="453"/>
    </row>
    <row r="14" spans="3:65" s="467" customFormat="1" ht="16.5" hidden="1" customHeight="1">
      <c r="C14" s="454"/>
      <c r="D14" s="455"/>
      <c r="E14" s="456"/>
      <c r="F14" s="457"/>
      <c r="G14" s="566" t="s">
        <v>1097</v>
      </c>
      <c r="H14" s="459" t="s">
        <v>196</v>
      </c>
      <c r="I14" s="460">
        <v>45</v>
      </c>
      <c r="J14" s="461">
        <v>350</v>
      </c>
      <c r="K14" s="462">
        <v>13</v>
      </c>
      <c r="L14" s="463">
        <f t="shared" ref="L14:AI23" si="5">+IF($G14="CODO",IF($I14=L$10,IF($J14=L$11,$K14,0),0),0)</f>
        <v>0</v>
      </c>
      <c r="M14" s="464">
        <f t="shared" si="5"/>
        <v>0</v>
      </c>
      <c r="N14" s="464">
        <f t="shared" si="5"/>
        <v>0</v>
      </c>
      <c r="O14" s="464">
        <f t="shared" si="5"/>
        <v>0</v>
      </c>
      <c r="P14" s="464">
        <f t="shared" si="5"/>
        <v>0</v>
      </c>
      <c r="Q14" s="465">
        <f t="shared" si="5"/>
        <v>0</v>
      </c>
      <c r="R14" s="463">
        <f t="shared" si="5"/>
        <v>0</v>
      </c>
      <c r="S14" s="464">
        <f t="shared" si="5"/>
        <v>0</v>
      </c>
      <c r="T14" s="464">
        <f t="shared" si="5"/>
        <v>0</v>
      </c>
      <c r="U14" s="464">
        <f t="shared" si="5"/>
        <v>0</v>
      </c>
      <c r="V14" s="464">
        <f t="shared" si="5"/>
        <v>0</v>
      </c>
      <c r="W14" s="465">
        <f t="shared" si="5"/>
        <v>0</v>
      </c>
      <c r="X14" s="463">
        <f t="shared" si="5"/>
        <v>0</v>
      </c>
      <c r="Y14" s="464">
        <f t="shared" si="5"/>
        <v>0</v>
      </c>
      <c r="Z14" s="464">
        <f t="shared" si="5"/>
        <v>0</v>
      </c>
      <c r="AA14" s="464">
        <f t="shared" si="5"/>
        <v>0</v>
      </c>
      <c r="AB14" s="464">
        <f t="shared" si="5"/>
        <v>0</v>
      </c>
      <c r="AC14" s="465">
        <f t="shared" si="5"/>
        <v>13</v>
      </c>
      <c r="AD14" s="463">
        <f t="shared" si="5"/>
        <v>0</v>
      </c>
      <c r="AE14" s="464">
        <f t="shared" si="5"/>
        <v>0</v>
      </c>
      <c r="AF14" s="464">
        <f t="shared" si="5"/>
        <v>0</v>
      </c>
      <c r="AG14" s="464">
        <f t="shared" si="5"/>
        <v>0</v>
      </c>
      <c r="AH14" s="464">
        <f t="shared" si="5"/>
        <v>0</v>
      </c>
      <c r="AI14" s="465">
        <f t="shared" si="5"/>
        <v>0</v>
      </c>
      <c r="AJ14" s="463">
        <f>+IF($G14=AJ$10,IF($I14=AJ$11,$K14,0),0)</f>
        <v>0</v>
      </c>
      <c r="AK14" s="464">
        <f t="shared" ref="AK14:BM25" si="6">+IF($G14=AK$10,IF($I14=AK$11,$K14,0),0)</f>
        <v>0</v>
      </c>
      <c r="AL14" s="464">
        <f t="shared" si="6"/>
        <v>0</v>
      </c>
      <c r="AM14" s="464">
        <f t="shared" si="6"/>
        <v>0</v>
      </c>
      <c r="AN14" s="464">
        <f t="shared" si="6"/>
        <v>0</v>
      </c>
      <c r="AO14" s="465">
        <f t="shared" si="6"/>
        <v>0</v>
      </c>
      <c r="AP14" s="463">
        <f>+IF($G14=AP$10,IF($I14=AP$11,$K14,0),0)</f>
        <v>0</v>
      </c>
      <c r="AQ14" s="464">
        <f t="shared" si="6"/>
        <v>0</v>
      </c>
      <c r="AR14" s="464">
        <f t="shared" si="6"/>
        <v>0</v>
      </c>
      <c r="AS14" s="464">
        <f t="shared" si="6"/>
        <v>0</v>
      </c>
      <c r="AT14" s="464">
        <f t="shared" si="6"/>
        <v>0</v>
      </c>
      <c r="AU14" s="465">
        <f t="shared" si="6"/>
        <v>0</v>
      </c>
      <c r="AV14" s="463">
        <f>+IF($G14=AV$10,IF($I14=AV$11,$K14,0),0)</f>
        <v>0</v>
      </c>
      <c r="AW14" s="464">
        <f t="shared" si="6"/>
        <v>0</v>
      </c>
      <c r="AX14" s="464">
        <f t="shared" si="6"/>
        <v>0</v>
      </c>
      <c r="AY14" s="464">
        <f t="shared" si="6"/>
        <v>0</v>
      </c>
      <c r="AZ14" s="464">
        <f t="shared" si="6"/>
        <v>0</v>
      </c>
      <c r="BA14" s="465">
        <f t="shared" si="6"/>
        <v>0</v>
      </c>
      <c r="BB14" s="463">
        <f>+IF($G14=BB$10,IF($I14=BB$11,$K14,0),0)</f>
        <v>0</v>
      </c>
      <c r="BC14" s="464">
        <f t="shared" si="6"/>
        <v>0</v>
      </c>
      <c r="BD14" s="464">
        <f t="shared" si="6"/>
        <v>0</v>
      </c>
      <c r="BE14" s="464">
        <f t="shared" si="6"/>
        <v>0</v>
      </c>
      <c r="BF14" s="464">
        <f t="shared" si="6"/>
        <v>0</v>
      </c>
      <c r="BG14" s="465">
        <f t="shared" si="6"/>
        <v>0</v>
      </c>
      <c r="BH14" s="463">
        <f t="shared" si="6"/>
        <v>0</v>
      </c>
      <c r="BI14" s="464">
        <f t="shared" si="6"/>
        <v>0</v>
      </c>
      <c r="BJ14" s="464">
        <f t="shared" si="6"/>
        <v>0</v>
      </c>
      <c r="BK14" s="464">
        <f t="shared" si="6"/>
        <v>0</v>
      </c>
      <c r="BL14" s="464">
        <f t="shared" si="6"/>
        <v>0</v>
      </c>
      <c r="BM14" s="466">
        <f t="shared" si="6"/>
        <v>0</v>
      </c>
    </row>
    <row r="15" spans="3:65" s="467" customFormat="1" ht="16.5" hidden="1" customHeight="1">
      <c r="C15" s="454"/>
      <c r="D15" s="455"/>
      <c r="E15" s="456"/>
      <c r="F15" s="457"/>
      <c r="G15" s="566" t="s">
        <v>1097</v>
      </c>
      <c r="H15" s="459" t="s">
        <v>196</v>
      </c>
      <c r="I15" s="460">
        <v>22.5</v>
      </c>
      <c r="J15" s="461">
        <v>300</v>
      </c>
      <c r="K15" s="462">
        <v>9</v>
      </c>
      <c r="L15" s="463">
        <f t="shared" si="5"/>
        <v>0</v>
      </c>
      <c r="M15" s="464">
        <f t="shared" si="5"/>
        <v>0</v>
      </c>
      <c r="N15" s="464">
        <f t="shared" si="5"/>
        <v>0</v>
      </c>
      <c r="O15" s="464">
        <f t="shared" si="5"/>
        <v>0</v>
      </c>
      <c r="P15" s="464">
        <f t="shared" si="5"/>
        <v>0</v>
      </c>
      <c r="Q15" s="465">
        <f t="shared" si="5"/>
        <v>0</v>
      </c>
      <c r="R15" s="463">
        <f t="shared" si="5"/>
        <v>0</v>
      </c>
      <c r="S15" s="464">
        <f t="shared" si="5"/>
        <v>0</v>
      </c>
      <c r="T15" s="464">
        <f t="shared" si="5"/>
        <v>0</v>
      </c>
      <c r="U15" s="464">
        <f t="shared" si="5"/>
        <v>0</v>
      </c>
      <c r="V15" s="464">
        <f t="shared" si="5"/>
        <v>9</v>
      </c>
      <c r="W15" s="465">
        <f t="shared" si="5"/>
        <v>0</v>
      </c>
      <c r="X15" s="463">
        <f t="shared" si="5"/>
        <v>0</v>
      </c>
      <c r="Y15" s="464">
        <f t="shared" si="5"/>
        <v>0</v>
      </c>
      <c r="Z15" s="464">
        <f t="shared" si="5"/>
        <v>0</v>
      </c>
      <c r="AA15" s="464">
        <f t="shared" si="5"/>
        <v>0</v>
      </c>
      <c r="AB15" s="464">
        <f t="shared" si="5"/>
        <v>0</v>
      </c>
      <c r="AC15" s="465">
        <f t="shared" si="5"/>
        <v>0</v>
      </c>
      <c r="AD15" s="463">
        <f t="shared" si="5"/>
        <v>0</v>
      </c>
      <c r="AE15" s="464">
        <f t="shared" si="5"/>
        <v>0</v>
      </c>
      <c r="AF15" s="464">
        <f t="shared" si="5"/>
        <v>0</v>
      </c>
      <c r="AG15" s="464">
        <f t="shared" si="5"/>
        <v>0</v>
      </c>
      <c r="AH15" s="464">
        <f t="shared" si="5"/>
        <v>0</v>
      </c>
      <c r="AI15" s="465">
        <f t="shared" si="5"/>
        <v>0</v>
      </c>
      <c r="AJ15" s="463">
        <f t="shared" ref="AJ15:BK25" si="7">+IF($G15=AJ$10,IF($I15=AJ$11,$K15,0),0)</f>
        <v>0</v>
      </c>
      <c r="AK15" s="464">
        <f t="shared" si="7"/>
        <v>0</v>
      </c>
      <c r="AL15" s="464">
        <f t="shared" si="7"/>
        <v>0</v>
      </c>
      <c r="AM15" s="464">
        <f t="shared" si="7"/>
        <v>0</v>
      </c>
      <c r="AN15" s="464">
        <f t="shared" si="7"/>
        <v>0</v>
      </c>
      <c r="AO15" s="465">
        <f t="shared" si="7"/>
        <v>0</v>
      </c>
      <c r="AP15" s="463">
        <f t="shared" si="7"/>
        <v>0</v>
      </c>
      <c r="AQ15" s="464">
        <f t="shared" si="7"/>
        <v>0</v>
      </c>
      <c r="AR15" s="464">
        <f t="shared" si="7"/>
        <v>0</v>
      </c>
      <c r="AS15" s="464">
        <f t="shared" si="7"/>
        <v>0</v>
      </c>
      <c r="AT15" s="464">
        <f t="shared" si="7"/>
        <v>0</v>
      </c>
      <c r="AU15" s="465">
        <f t="shared" si="7"/>
        <v>0</v>
      </c>
      <c r="AV15" s="463">
        <f t="shared" si="7"/>
        <v>0</v>
      </c>
      <c r="AW15" s="464">
        <f t="shared" si="7"/>
        <v>0</v>
      </c>
      <c r="AX15" s="464">
        <f t="shared" si="7"/>
        <v>0</v>
      </c>
      <c r="AY15" s="464">
        <f t="shared" si="7"/>
        <v>0</v>
      </c>
      <c r="AZ15" s="464">
        <f t="shared" si="7"/>
        <v>0</v>
      </c>
      <c r="BA15" s="465">
        <f t="shared" si="7"/>
        <v>0</v>
      </c>
      <c r="BB15" s="463">
        <f t="shared" ref="BB15:BG17" si="8">+IF($G15=BB$10,IF($I15=BB$11,$K15,0),0)</f>
        <v>0</v>
      </c>
      <c r="BC15" s="464">
        <f t="shared" si="8"/>
        <v>0</v>
      </c>
      <c r="BD15" s="464">
        <f t="shared" si="8"/>
        <v>0</v>
      </c>
      <c r="BE15" s="464">
        <f t="shared" si="8"/>
        <v>0</v>
      </c>
      <c r="BF15" s="464">
        <f t="shared" si="8"/>
        <v>0</v>
      </c>
      <c r="BG15" s="465">
        <f t="shared" si="8"/>
        <v>0</v>
      </c>
      <c r="BH15" s="463">
        <f t="shared" si="7"/>
        <v>0</v>
      </c>
      <c r="BI15" s="464">
        <f t="shared" si="7"/>
        <v>0</v>
      </c>
      <c r="BJ15" s="464">
        <f t="shared" si="7"/>
        <v>0</v>
      </c>
      <c r="BK15" s="464">
        <f t="shared" si="7"/>
        <v>0</v>
      </c>
      <c r="BL15" s="464">
        <f t="shared" si="6"/>
        <v>0</v>
      </c>
      <c r="BM15" s="466">
        <f t="shared" si="6"/>
        <v>0</v>
      </c>
    </row>
    <row r="16" spans="3:65" s="467" customFormat="1" ht="16.5" hidden="1" customHeight="1">
      <c r="C16" s="454"/>
      <c r="D16" s="455"/>
      <c r="E16" s="456"/>
      <c r="F16" s="457"/>
      <c r="G16" s="566" t="s">
        <v>1097</v>
      </c>
      <c r="H16" s="459" t="s">
        <v>196</v>
      </c>
      <c r="I16" s="460">
        <v>11.25</v>
      </c>
      <c r="J16" s="461">
        <v>350</v>
      </c>
      <c r="K16" s="462">
        <v>9</v>
      </c>
      <c r="L16" s="463">
        <f t="shared" si="5"/>
        <v>0</v>
      </c>
      <c r="M16" s="464">
        <f t="shared" si="5"/>
        <v>0</v>
      </c>
      <c r="N16" s="464">
        <f t="shared" si="5"/>
        <v>0</v>
      </c>
      <c r="O16" s="464">
        <f t="shared" si="5"/>
        <v>0</v>
      </c>
      <c r="P16" s="464">
        <f t="shared" si="5"/>
        <v>0</v>
      </c>
      <c r="Q16" s="465">
        <f t="shared" si="5"/>
        <v>9</v>
      </c>
      <c r="R16" s="463">
        <f t="shared" si="5"/>
        <v>0</v>
      </c>
      <c r="S16" s="464">
        <f t="shared" si="5"/>
        <v>0</v>
      </c>
      <c r="T16" s="464">
        <f t="shared" si="5"/>
        <v>0</v>
      </c>
      <c r="U16" s="464">
        <f t="shared" si="5"/>
        <v>0</v>
      </c>
      <c r="V16" s="464">
        <f t="shared" si="5"/>
        <v>0</v>
      </c>
      <c r="W16" s="465">
        <f t="shared" si="5"/>
        <v>0</v>
      </c>
      <c r="X16" s="463">
        <f t="shared" si="5"/>
        <v>0</v>
      </c>
      <c r="Y16" s="464">
        <f t="shared" si="5"/>
        <v>0</v>
      </c>
      <c r="Z16" s="464">
        <f t="shared" si="5"/>
        <v>0</v>
      </c>
      <c r="AA16" s="464">
        <f t="shared" si="5"/>
        <v>0</v>
      </c>
      <c r="AB16" s="464">
        <f t="shared" si="5"/>
        <v>0</v>
      </c>
      <c r="AC16" s="465">
        <f t="shared" si="5"/>
        <v>0</v>
      </c>
      <c r="AD16" s="463">
        <f t="shared" si="5"/>
        <v>0</v>
      </c>
      <c r="AE16" s="464">
        <f t="shared" si="5"/>
        <v>0</v>
      </c>
      <c r="AF16" s="464">
        <f t="shared" si="5"/>
        <v>0</v>
      </c>
      <c r="AG16" s="464">
        <f t="shared" si="5"/>
        <v>0</v>
      </c>
      <c r="AH16" s="464">
        <f t="shared" si="5"/>
        <v>0</v>
      </c>
      <c r="AI16" s="465">
        <f t="shared" si="5"/>
        <v>0</v>
      </c>
      <c r="AJ16" s="463">
        <f t="shared" si="7"/>
        <v>0</v>
      </c>
      <c r="AK16" s="464">
        <f t="shared" si="7"/>
        <v>0</v>
      </c>
      <c r="AL16" s="464">
        <f t="shared" si="7"/>
        <v>0</v>
      </c>
      <c r="AM16" s="464">
        <f t="shared" si="7"/>
        <v>0</v>
      </c>
      <c r="AN16" s="464">
        <f t="shared" si="7"/>
        <v>0</v>
      </c>
      <c r="AO16" s="465">
        <f t="shared" si="7"/>
        <v>0</v>
      </c>
      <c r="AP16" s="463">
        <f t="shared" si="7"/>
        <v>0</v>
      </c>
      <c r="AQ16" s="464">
        <f t="shared" si="7"/>
        <v>0</v>
      </c>
      <c r="AR16" s="464">
        <f t="shared" si="7"/>
        <v>0</v>
      </c>
      <c r="AS16" s="464">
        <f t="shared" si="7"/>
        <v>0</v>
      </c>
      <c r="AT16" s="464">
        <f t="shared" si="7"/>
        <v>0</v>
      </c>
      <c r="AU16" s="465">
        <f t="shared" si="7"/>
        <v>0</v>
      </c>
      <c r="AV16" s="463">
        <f t="shared" si="7"/>
        <v>0</v>
      </c>
      <c r="AW16" s="464">
        <f t="shared" si="7"/>
        <v>0</v>
      </c>
      <c r="AX16" s="464">
        <f t="shared" si="7"/>
        <v>0</v>
      </c>
      <c r="AY16" s="464">
        <f t="shared" si="7"/>
        <v>0</v>
      </c>
      <c r="AZ16" s="464">
        <f t="shared" si="7"/>
        <v>0</v>
      </c>
      <c r="BA16" s="465">
        <f t="shared" si="7"/>
        <v>0</v>
      </c>
      <c r="BB16" s="463">
        <f t="shared" si="8"/>
        <v>0</v>
      </c>
      <c r="BC16" s="464">
        <f t="shared" si="8"/>
        <v>0</v>
      </c>
      <c r="BD16" s="464">
        <f t="shared" si="8"/>
        <v>0</v>
      </c>
      <c r="BE16" s="464">
        <f t="shared" si="8"/>
        <v>0</v>
      </c>
      <c r="BF16" s="464">
        <f t="shared" si="8"/>
        <v>0</v>
      </c>
      <c r="BG16" s="465">
        <f t="shared" si="8"/>
        <v>0</v>
      </c>
      <c r="BH16" s="463">
        <f t="shared" si="7"/>
        <v>0</v>
      </c>
      <c r="BI16" s="464">
        <f t="shared" si="7"/>
        <v>0</v>
      </c>
      <c r="BJ16" s="464">
        <f t="shared" si="7"/>
        <v>0</v>
      </c>
      <c r="BK16" s="464">
        <f t="shared" si="7"/>
        <v>0</v>
      </c>
      <c r="BL16" s="464">
        <f t="shared" si="6"/>
        <v>0</v>
      </c>
      <c r="BM16" s="466">
        <f t="shared" si="6"/>
        <v>0</v>
      </c>
    </row>
    <row r="17" spans="3:65" s="467" customFormat="1" ht="16.5" hidden="1" customHeight="1">
      <c r="C17" s="454"/>
      <c r="D17" s="455"/>
      <c r="E17" s="456"/>
      <c r="F17" s="457"/>
      <c r="G17" s="566" t="s">
        <v>1097</v>
      </c>
      <c r="H17" s="459" t="s">
        <v>196</v>
      </c>
      <c r="I17" s="460">
        <v>45</v>
      </c>
      <c r="J17" s="461">
        <v>300</v>
      </c>
      <c r="K17" s="462">
        <v>18</v>
      </c>
      <c r="L17" s="463">
        <f t="shared" si="5"/>
        <v>0</v>
      </c>
      <c r="M17" s="464">
        <f t="shared" si="5"/>
        <v>0</v>
      </c>
      <c r="N17" s="464">
        <f t="shared" si="5"/>
        <v>0</v>
      </c>
      <c r="O17" s="464">
        <f t="shared" si="5"/>
        <v>0</v>
      </c>
      <c r="P17" s="464">
        <f t="shared" si="5"/>
        <v>0</v>
      </c>
      <c r="Q17" s="465">
        <f t="shared" si="5"/>
        <v>0</v>
      </c>
      <c r="R17" s="463">
        <f t="shared" si="5"/>
        <v>0</v>
      </c>
      <c r="S17" s="464">
        <f t="shared" si="5"/>
        <v>0</v>
      </c>
      <c r="T17" s="464">
        <f t="shared" si="5"/>
        <v>0</v>
      </c>
      <c r="U17" s="464">
        <f t="shared" si="5"/>
        <v>0</v>
      </c>
      <c r="V17" s="464">
        <f t="shared" si="5"/>
        <v>0</v>
      </c>
      <c r="W17" s="465">
        <f t="shared" si="5"/>
        <v>0</v>
      </c>
      <c r="X17" s="463">
        <f t="shared" si="5"/>
        <v>0</v>
      </c>
      <c r="Y17" s="464">
        <f t="shared" si="5"/>
        <v>0</v>
      </c>
      <c r="Z17" s="464">
        <f t="shared" si="5"/>
        <v>0</v>
      </c>
      <c r="AA17" s="464">
        <f t="shared" si="5"/>
        <v>0</v>
      </c>
      <c r="AB17" s="464">
        <f t="shared" si="5"/>
        <v>18</v>
      </c>
      <c r="AC17" s="465">
        <f t="shared" si="5"/>
        <v>0</v>
      </c>
      <c r="AD17" s="463">
        <f t="shared" si="5"/>
        <v>0</v>
      </c>
      <c r="AE17" s="464">
        <f t="shared" si="5"/>
        <v>0</v>
      </c>
      <c r="AF17" s="464">
        <f t="shared" si="5"/>
        <v>0</v>
      </c>
      <c r="AG17" s="464">
        <f t="shared" si="5"/>
        <v>0</v>
      </c>
      <c r="AH17" s="464">
        <f t="shared" si="5"/>
        <v>0</v>
      </c>
      <c r="AI17" s="465">
        <f t="shared" si="5"/>
        <v>0</v>
      </c>
      <c r="AJ17" s="463">
        <f t="shared" si="7"/>
        <v>0</v>
      </c>
      <c r="AK17" s="464">
        <f t="shared" si="7"/>
        <v>0</v>
      </c>
      <c r="AL17" s="464">
        <f t="shared" si="7"/>
        <v>0</v>
      </c>
      <c r="AM17" s="464">
        <f t="shared" si="7"/>
        <v>0</v>
      </c>
      <c r="AN17" s="464">
        <f t="shared" si="7"/>
        <v>0</v>
      </c>
      <c r="AO17" s="465">
        <f t="shared" si="7"/>
        <v>0</v>
      </c>
      <c r="AP17" s="463">
        <f t="shared" si="7"/>
        <v>0</v>
      </c>
      <c r="AQ17" s="464">
        <f t="shared" si="7"/>
        <v>0</v>
      </c>
      <c r="AR17" s="464">
        <f t="shared" si="7"/>
        <v>0</v>
      </c>
      <c r="AS17" s="464">
        <f t="shared" si="7"/>
        <v>0</v>
      </c>
      <c r="AT17" s="464">
        <f t="shared" si="7"/>
        <v>0</v>
      </c>
      <c r="AU17" s="465">
        <f t="shared" si="7"/>
        <v>0</v>
      </c>
      <c r="AV17" s="463">
        <f t="shared" si="7"/>
        <v>0</v>
      </c>
      <c r="AW17" s="464">
        <f t="shared" ref="AV17:BG25" si="9">+IF($G17=AW$10,IF($I17=AW$11,$K17,0),0)</f>
        <v>0</v>
      </c>
      <c r="AX17" s="464">
        <f t="shared" si="9"/>
        <v>0</v>
      </c>
      <c r="AY17" s="464">
        <f t="shared" si="9"/>
        <v>0</v>
      </c>
      <c r="AZ17" s="464">
        <f t="shared" si="9"/>
        <v>0</v>
      </c>
      <c r="BA17" s="465">
        <f t="shared" si="9"/>
        <v>0</v>
      </c>
      <c r="BB17" s="463">
        <f t="shared" si="8"/>
        <v>0</v>
      </c>
      <c r="BC17" s="464">
        <f t="shared" si="9"/>
        <v>0</v>
      </c>
      <c r="BD17" s="464">
        <f t="shared" si="9"/>
        <v>0</v>
      </c>
      <c r="BE17" s="464">
        <f t="shared" si="9"/>
        <v>0</v>
      </c>
      <c r="BF17" s="464">
        <f t="shared" si="9"/>
        <v>0</v>
      </c>
      <c r="BG17" s="465">
        <f t="shared" si="9"/>
        <v>0</v>
      </c>
      <c r="BH17" s="463">
        <f t="shared" si="7"/>
        <v>0</v>
      </c>
      <c r="BI17" s="464">
        <f t="shared" si="7"/>
        <v>0</v>
      </c>
      <c r="BJ17" s="464">
        <f t="shared" si="7"/>
        <v>0</v>
      </c>
      <c r="BK17" s="464">
        <f t="shared" si="7"/>
        <v>0</v>
      </c>
      <c r="BL17" s="464">
        <f t="shared" si="6"/>
        <v>0</v>
      </c>
      <c r="BM17" s="466">
        <f t="shared" si="6"/>
        <v>0</v>
      </c>
    </row>
    <row r="18" spans="3:65" s="467" customFormat="1" ht="16.5" hidden="1" customHeight="1">
      <c r="C18" s="454"/>
      <c r="D18" s="455"/>
      <c r="E18" s="456"/>
      <c r="F18" s="457"/>
      <c r="G18" s="566" t="s">
        <v>1097</v>
      </c>
      <c r="H18" s="459" t="s">
        <v>196</v>
      </c>
      <c r="I18" s="460">
        <v>22.5</v>
      </c>
      <c r="J18" s="461">
        <v>350</v>
      </c>
      <c r="K18" s="462">
        <v>4</v>
      </c>
      <c r="L18" s="463">
        <f t="shared" si="5"/>
        <v>0</v>
      </c>
      <c r="M18" s="464">
        <f t="shared" si="5"/>
        <v>0</v>
      </c>
      <c r="N18" s="464">
        <f t="shared" si="5"/>
        <v>0</v>
      </c>
      <c r="O18" s="464">
        <f t="shared" si="5"/>
        <v>0</v>
      </c>
      <c r="P18" s="464">
        <f t="shared" si="5"/>
        <v>0</v>
      </c>
      <c r="Q18" s="465">
        <f t="shared" si="5"/>
        <v>0</v>
      </c>
      <c r="R18" s="463">
        <f t="shared" si="5"/>
        <v>0</v>
      </c>
      <c r="S18" s="464">
        <f t="shared" si="5"/>
        <v>0</v>
      </c>
      <c r="T18" s="464">
        <f t="shared" si="5"/>
        <v>0</v>
      </c>
      <c r="U18" s="464">
        <f t="shared" si="5"/>
        <v>0</v>
      </c>
      <c r="V18" s="464">
        <f t="shared" si="5"/>
        <v>0</v>
      </c>
      <c r="W18" s="465">
        <f t="shared" si="5"/>
        <v>4</v>
      </c>
      <c r="X18" s="463">
        <f t="shared" si="5"/>
        <v>0</v>
      </c>
      <c r="Y18" s="464">
        <f t="shared" si="5"/>
        <v>0</v>
      </c>
      <c r="Z18" s="464">
        <f t="shared" si="5"/>
        <v>0</v>
      </c>
      <c r="AA18" s="464">
        <f t="shared" si="5"/>
        <v>0</v>
      </c>
      <c r="AB18" s="464">
        <f t="shared" si="5"/>
        <v>0</v>
      </c>
      <c r="AC18" s="465">
        <f t="shared" si="5"/>
        <v>0</v>
      </c>
      <c r="AD18" s="463">
        <f t="shared" si="5"/>
        <v>0</v>
      </c>
      <c r="AE18" s="464">
        <f t="shared" si="5"/>
        <v>0</v>
      </c>
      <c r="AF18" s="464">
        <f t="shared" si="5"/>
        <v>0</v>
      </c>
      <c r="AG18" s="464">
        <f t="shared" si="5"/>
        <v>0</v>
      </c>
      <c r="AH18" s="464">
        <f t="shared" si="5"/>
        <v>0</v>
      </c>
      <c r="AI18" s="465">
        <f t="shared" si="5"/>
        <v>0</v>
      </c>
      <c r="AJ18" s="463">
        <f t="shared" si="7"/>
        <v>0</v>
      </c>
      <c r="AK18" s="464">
        <f t="shared" si="7"/>
        <v>0</v>
      </c>
      <c r="AL18" s="464">
        <f t="shared" si="7"/>
        <v>0</v>
      </c>
      <c r="AM18" s="464">
        <f t="shared" si="7"/>
        <v>0</v>
      </c>
      <c r="AN18" s="464">
        <f t="shared" si="7"/>
        <v>0</v>
      </c>
      <c r="AO18" s="465">
        <f t="shared" si="7"/>
        <v>0</v>
      </c>
      <c r="AP18" s="463">
        <f t="shared" si="7"/>
        <v>0</v>
      </c>
      <c r="AQ18" s="464">
        <f t="shared" si="7"/>
        <v>0</v>
      </c>
      <c r="AR18" s="464">
        <f t="shared" si="7"/>
        <v>0</v>
      </c>
      <c r="AS18" s="464">
        <f t="shared" si="7"/>
        <v>0</v>
      </c>
      <c r="AT18" s="464">
        <f t="shared" si="7"/>
        <v>0</v>
      </c>
      <c r="AU18" s="465">
        <f t="shared" si="7"/>
        <v>0</v>
      </c>
      <c r="AV18" s="463">
        <f t="shared" si="9"/>
        <v>0</v>
      </c>
      <c r="AW18" s="464">
        <f t="shared" si="9"/>
        <v>0</v>
      </c>
      <c r="AX18" s="464">
        <f t="shared" si="9"/>
        <v>0</v>
      </c>
      <c r="AY18" s="464">
        <f t="shared" si="9"/>
        <v>0</v>
      </c>
      <c r="AZ18" s="464">
        <f t="shared" si="9"/>
        <v>0</v>
      </c>
      <c r="BA18" s="465">
        <f t="shared" si="9"/>
        <v>0</v>
      </c>
      <c r="BB18" s="463">
        <f t="shared" si="9"/>
        <v>0</v>
      </c>
      <c r="BC18" s="464">
        <f t="shared" si="9"/>
        <v>0</v>
      </c>
      <c r="BD18" s="464">
        <f t="shared" si="9"/>
        <v>0</v>
      </c>
      <c r="BE18" s="464">
        <f t="shared" si="9"/>
        <v>0</v>
      </c>
      <c r="BF18" s="464">
        <f t="shared" si="9"/>
        <v>0</v>
      </c>
      <c r="BG18" s="465">
        <f t="shared" si="9"/>
        <v>0</v>
      </c>
      <c r="BH18" s="463">
        <f t="shared" si="7"/>
        <v>0</v>
      </c>
      <c r="BI18" s="464">
        <f t="shared" si="7"/>
        <v>0</v>
      </c>
      <c r="BJ18" s="464">
        <f t="shared" si="7"/>
        <v>0</v>
      </c>
      <c r="BK18" s="464">
        <f t="shared" si="7"/>
        <v>0</v>
      </c>
      <c r="BL18" s="464">
        <f t="shared" si="6"/>
        <v>0</v>
      </c>
      <c r="BM18" s="466">
        <f t="shared" si="6"/>
        <v>0</v>
      </c>
    </row>
    <row r="19" spans="3:65" s="467" customFormat="1" ht="16.5" hidden="1" customHeight="1">
      <c r="C19" s="454"/>
      <c r="D19" s="455"/>
      <c r="E19" s="456"/>
      <c r="F19" s="457"/>
      <c r="G19" s="566" t="s">
        <v>1097</v>
      </c>
      <c r="H19" s="459" t="s">
        <v>196</v>
      </c>
      <c r="I19" s="460">
        <v>11.25</v>
      </c>
      <c r="J19" s="461">
        <v>300</v>
      </c>
      <c r="K19" s="462">
        <v>2</v>
      </c>
      <c r="L19" s="463">
        <f t="shared" si="5"/>
        <v>0</v>
      </c>
      <c r="M19" s="464">
        <f t="shared" si="5"/>
        <v>0</v>
      </c>
      <c r="N19" s="464">
        <f t="shared" si="5"/>
        <v>0</v>
      </c>
      <c r="O19" s="464">
        <f t="shared" si="5"/>
        <v>0</v>
      </c>
      <c r="P19" s="464">
        <f t="shared" si="5"/>
        <v>2</v>
      </c>
      <c r="Q19" s="465">
        <f t="shared" si="5"/>
        <v>0</v>
      </c>
      <c r="R19" s="463">
        <f t="shared" si="5"/>
        <v>0</v>
      </c>
      <c r="S19" s="464">
        <f t="shared" si="5"/>
        <v>0</v>
      </c>
      <c r="T19" s="464">
        <f t="shared" si="5"/>
        <v>0</v>
      </c>
      <c r="U19" s="464">
        <f t="shared" si="5"/>
        <v>0</v>
      </c>
      <c r="V19" s="464">
        <f t="shared" si="5"/>
        <v>0</v>
      </c>
      <c r="W19" s="465">
        <f t="shared" si="5"/>
        <v>0</v>
      </c>
      <c r="X19" s="463">
        <f t="shared" si="5"/>
        <v>0</v>
      </c>
      <c r="Y19" s="464">
        <f t="shared" si="5"/>
        <v>0</v>
      </c>
      <c r="Z19" s="464">
        <f t="shared" si="5"/>
        <v>0</v>
      </c>
      <c r="AA19" s="464">
        <f t="shared" si="5"/>
        <v>0</v>
      </c>
      <c r="AB19" s="464">
        <f t="shared" si="5"/>
        <v>0</v>
      </c>
      <c r="AC19" s="465">
        <f t="shared" si="5"/>
        <v>0</v>
      </c>
      <c r="AD19" s="463">
        <f t="shared" si="5"/>
        <v>0</v>
      </c>
      <c r="AE19" s="464">
        <f t="shared" si="5"/>
        <v>0</v>
      </c>
      <c r="AF19" s="464">
        <f t="shared" si="5"/>
        <v>0</v>
      </c>
      <c r="AG19" s="464">
        <f t="shared" si="5"/>
        <v>0</v>
      </c>
      <c r="AH19" s="464">
        <f t="shared" si="5"/>
        <v>0</v>
      </c>
      <c r="AI19" s="465">
        <f t="shared" si="5"/>
        <v>0</v>
      </c>
      <c r="AJ19" s="463">
        <f t="shared" si="7"/>
        <v>0</v>
      </c>
      <c r="AK19" s="464">
        <f t="shared" si="7"/>
        <v>0</v>
      </c>
      <c r="AL19" s="464">
        <f t="shared" si="7"/>
        <v>0</v>
      </c>
      <c r="AM19" s="464">
        <f t="shared" si="7"/>
        <v>0</v>
      </c>
      <c r="AN19" s="464">
        <f t="shared" si="7"/>
        <v>0</v>
      </c>
      <c r="AO19" s="465">
        <f t="shared" si="7"/>
        <v>0</v>
      </c>
      <c r="AP19" s="463">
        <f t="shared" si="7"/>
        <v>0</v>
      </c>
      <c r="AQ19" s="464">
        <f t="shared" si="7"/>
        <v>0</v>
      </c>
      <c r="AR19" s="464">
        <f t="shared" si="7"/>
        <v>0</v>
      </c>
      <c r="AS19" s="464">
        <f t="shared" si="7"/>
        <v>0</v>
      </c>
      <c r="AT19" s="464">
        <f t="shared" si="7"/>
        <v>0</v>
      </c>
      <c r="AU19" s="465">
        <f t="shared" si="7"/>
        <v>0</v>
      </c>
      <c r="AV19" s="463">
        <f t="shared" si="9"/>
        <v>0</v>
      </c>
      <c r="AW19" s="464">
        <f t="shared" si="9"/>
        <v>0</v>
      </c>
      <c r="AX19" s="464">
        <f t="shared" si="9"/>
        <v>0</v>
      </c>
      <c r="AY19" s="464">
        <f t="shared" si="9"/>
        <v>0</v>
      </c>
      <c r="AZ19" s="464">
        <f t="shared" si="9"/>
        <v>0</v>
      </c>
      <c r="BA19" s="465">
        <f t="shared" si="9"/>
        <v>0</v>
      </c>
      <c r="BB19" s="463">
        <f t="shared" si="9"/>
        <v>0</v>
      </c>
      <c r="BC19" s="464">
        <f t="shared" si="9"/>
        <v>0</v>
      </c>
      <c r="BD19" s="464">
        <f t="shared" si="9"/>
        <v>0</v>
      </c>
      <c r="BE19" s="464">
        <f t="shared" si="9"/>
        <v>0</v>
      </c>
      <c r="BF19" s="464">
        <f t="shared" si="9"/>
        <v>0</v>
      </c>
      <c r="BG19" s="465">
        <f t="shared" si="9"/>
        <v>0</v>
      </c>
      <c r="BH19" s="463">
        <f t="shared" si="7"/>
        <v>0</v>
      </c>
      <c r="BI19" s="464">
        <f t="shared" si="7"/>
        <v>0</v>
      </c>
      <c r="BJ19" s="464">
        <f t="shared" si="7"/>
        <v>0</v>
      </c>
      <c r="BK19" s="464">
        <f t="shared" si="7"/>
        <v>0</v>
      </c>
      <c r="BL19" s="464">
        <f t="shared" si="6"/>
        <v>0</v>
      </c>
      <c r="BM19" s="466">
        <f t="shared" si="6"/>
        <v>0</v>
      </c>
    </row>
    <row r="20" spans="3:65" s="467" customFormat="1" ht="16.5" hidden="1" customHeight="1">
      <c r="C20" s="454"/>
      <c r="D20" s="455"/>
      <c r="E20" s="456"/>
      <c r="F20" s="457"/>
      <c r="G20" s="566" t="s">
        <v>1096</v>
      </c>
      <c r="H20" s="459" t="s">
        <v>196</v>
      </c>
      <c r="I20" s="460">
        <v>350</v>
      </c>
      <c r="J20" s="461">
        <v>300</v>
      </c>
      <c r="K20" s="462">
        <v>1</v>
      </c>
      <c r="L20" s="463">
        <f t="shared" si="5"/>
        <v>0</v>
      </c>
      <c r="M20" s="464">
        <f t="shared" si="5"/>
        <v>0</v>
      </c>
      <c r="N20" s="464">
        <f t="shared" si="5"/>
        <v>0</v>
      </c>
      <c r="O20" s="464">
        <f t="shared" si="5"/>
        <v>0</v>
      </c>
      <c r="P20" s="464">
        <f t="shared" si="5"/>
        <v>0</v>
      </c>
      <c r="Q20" s="465">
        <f t="shared" si="5"/>
        <v>0</v>
      </c>
      <c r="R20" s="463">
        <f t="shared" si="5"/>
        <v>0</v>
      </c>
      <c r="S20" s="464">
        <f t="shared" si="5"/>
        <v>0</v>
      </c>
      <c r="T20" s="464">
        <f t="shared" si="5"/>
        <v>0</v>
      </c>
      <c r="U20" s="464">
        <f t="shared" si="5"/>
        <v>0</v>
      </c>
      <c r="V20" s="464">
        <f t="shared" si="5"/>
        <v>0</v>
      </c>
      <c r="W20" s="465">
        <f t="shared" si="5"/>
        <v>0</v>
      </c>
      <c r="X20" s="463">
        <f t="shared" si="5"/>
        <v>0</v>
      </c>
      <c r="Y20" s="464">
        <f t="shared" si="5"/>
        <v>0</v>
      </c>
      <c r="Z20" s="464">
        <f t="shared" si="5"/>
        <v>0</v>
      </c>
      <c r="AA20" s="464">
        <f t="shared" si="5"/>
        <v>0</v>
      </c>
      <c r="AB20" s="464">
        <f t="shared" si="5"/>
        <v>0</v>
      </c>
      <c r="AC20" s="465">
        <f t="shared" si="5"/>
        <v>0</v>
      </c>
      <c r="AD20" s="463">
        <f t="shared" si="5"/>
        <v>0</v>
      </c>
      <c r="AE20" s="464">
        <f t="shared" si="5"/>
        <v>0</v>
      </c>
      <c r="AF20" s="464">
        <f t="shared" si="5"/>
        <v>0</v>
      </c>
      <c r="AG20" s="464">
        <f t="shared" si="5"/>
        <v>0</v>
      </c>
      <c r="AH20" s="464">
        <f t="shared" si="5"/>
        <v>0</v>
      </c>
      <c r="AI20" s="465">
        <f t="shared" si="5"/>
        <v>0</v>
      </c>
      <c r="AJ20" s="463">
        <f t="shared" si="7"/>
        <v>0</v>
      </c>
      <c r="AK20" s="464">
        <f t="shared" si="7"/>
        <v>0</v>
      </c>
      <c r="AL20" s="464">
        <f t="shared" si="7"/>
        <v>0</v>
      </c>
      <c r="AM20" s="464">
        <f t="shared" si="7"/>
        <v>0</v>
      </c>
      <c r="AN20" s="464">
        <f t="shared" si="7"/>
        <v>0</v>
      </c>
      <c r="AO20" s="465">
        <f t="shared" si="7"/>
        <v>0</v>
      </c>
      <c r="AP20" s="463">
        <f t="shared" si="7"/>
        <v>0</v>
      </c>
      <c r="AQ20" s="464">
        <f t="shared" si="7"/>
        <v>0</v>
      </c>
      <c r="AR20" s="464">
        <f t="shared" si="7"/>
        <v>0</v>
      </c>
      <c r="AS20" s="464">
        <f t="shared" si="7"/>
        <v>0</v>
      </c>
      <c r="AT20" s="464">
        <f t="shared" si="7"/>
        <v>0</v>
      </c>
      <c r="AU20" s="465">
        <f t="shared" si="7"/>
        <v>0</v>
      </c>
      <c r="AV20" s="463">
        <f t="shared" si="9"/>
        <v>0</v>
      </c>
      <c r="AW20" s="464">
        <f t="shared" si="9"/>
        <v>0</v>
      </c>
      <c r="AX20" s="464">
        <f t="shared" si="9"/>
        <v>0</v>
      </c>
      <c r="AY20" s="464">
        <f t="shared" si="9"/>
        <v>0</v>
      </c>
      <c r="AZ20" s="464">
        <f t="shared" si="9"/>
        <v>0</v>
      </c>
      <c r="BA20" s="465">
        <f t="shared" si="9"/>
        <v>0</v>
      </c>
      <c r="BB20" s="463">
        <f t="shared" si="9"/>
        <v>0</v>
      </c>
      <c r="BC20" s="464">
        <f t="shared" si="9"/>
        <v>0</v>
      </c>
      <c r="BD20" s="464">
        <f t="shared" si="9"/>
        <v>0</v>
      </c>
      <c r="BE20" s="464">
        <f t="shared" si="9"/>
        <v>0</v>
      </c>
      <c r="BF20" s="464">
        <f t="shared" si="9"/>
        <v>0</v>
      </c>
      <c r="BG20" s="465">
        <f t="shared" si="9"/>
        <v>0</v>
      </c>
      <c r="BH20" s="463">
        <f t="shared" si="7"/>
        <v>0</v>
      </c>
      <c r="BI20" s="464">
        <f t="shared" si="7"/>
        <v>0</v>
      </c>
      <c r="BJ20" s="464">
        <f t="shared" si="7"/>
        <v>0</v>
      </c>
      <c r="BK20" s="464">
        <f>+IF($G20=BK$10,IF($I20=BK$11,$K20,0),0)</f>
        <v>0</v>
      </c>
      <c r="BL20" s="464">
        <v>1</v>
      </c>
      <c r="BM20" s="466">
        <v>0</v>
      </c>
    </row>
    <row r="21" spans="3:65" s="467" customFormat="1" ht="16.5" hidden="1" customHeight="1">
      <c r="C21" s="435" t="s">
        <v>1102</v>
      </c>
      <c r="D21" s="436"/>
      <c r="E21" s="437"/>
      <c r="F21" s="438" t="str">
        <f t="shared" ref="F21:F29" si="10">+CONCATENATE(D21,"-",E21)</f>
        <v>-</v>
      </c>
      <c r="G21" s="565"/>
      <c r="H21" s="440"/>
      <c r="I21" s="441"/>
      <c r="J21" s="442"/>
      <c r="K21" s="443">
        <f t="shared" ref="K21" si="11">+IF(I21&gt;1,1,0)</f>
        <v>0</v>
      </c>
      <c r="L21" s="444">
        <f t="shared" si="5"/>
        <v>0</v>
      </c>
      <c r="M21" s="445">
        <f t="shared" si="5"/>
        <v>0</v>
      </c>
      <c r="N21" s="445">
        <f t="shared" si="5"/>
        <v>0</v>
      </c>
      <c r="O21" s="445">
        <f t="shared" si="5"/>
        <v>0</v>
      </c>
      <c r="P21" s="445">
        <f t="shared" si="5"/>
        <v>0</v>
      </c>
      <c r="Q21" s="446">
        <f t="shared" si="5"/>
        <v>0</v>
      </c>
      <c r="R21" s="444">
        <f t="shared" si="5"/>
        <v>0</v>
      </c>
      <c r="S21" s="445">
        <f t="shared" si="5"/>
        <v>0</v>
      </c>
      <c r="T21" s="445">
        <f t="shared" si="5"/>
        <v>0</v>
      </c>
      <c r="U21" s="445">
        <f t="shared" si="5"/>
        <v>0</v>
      </c>
      <c r="V21" s="445">
        <f t="shared" si="5"/>
        <v>0</v>
      </c>
      <c r="W21" s="446">
        <f t="shared" si="5"/>
        <v>0</v>
      </c>
      <c r="X21" s="444">
        <f t="shared" si="5"/>
        <v>0</v>
      </c>
      <c r="Y21" s="445">
        <f t="shared" si="5"/>
        <v>0</v>
      </c>
      <c r="Z21" s="445">
        <f t="shared" si="5"/>
        <v>0</v>
      </c>
      <c r="AA21" s="445">
        <f t="shared" si="5"/>
        <v>0</v>
      </c>
      <c r="AB21" s="445">
        <f t="shared" si="5"/>
        <v>0</v>
      </c>
      <c r="AC21" s="446">
        <f t="shared" si="5"/>
        <v>0</v>
      </c>
      <c r="AD21" s="444">
        <f t="shared" si="5"/>
        <v>0</v>
      </c>
      <c r="AE21" s="445">
        <f t="shared" si="5"/>
        <v>0</v>
      </c>
      <c r="AF21" s="445">
        <f t="shared" si="5"/>
        <v>0</v>
      </c>
      <c r="AG21" s="445">
        <f t="shared" si="5"/>
        <v>0</v>
      </c>
      <c r="AH21" s="445">
        <f t="shared" si="5"/>
        <v>0</v>
      </c>
      <c r="AI21" s="446">
        <f t="shared" si="5"/>
        <v>0</v>
      </c>
      <c r="AJ21" s="444">
        <f t="shared" si="7"/>
        <v>0</v>
      </c>
      <c r="AK21" s="445">
        <f t="shared" si="7"/>
        <v>0</v>
      </c>
      <c r="AL21" s="445">
        <f t="shared" si="7"/>
        <v>0</v>
      </c>
      <c r="AM21" s="445">
        <f t="shared" si="7"/>
        <v>0</v>
      </c>
      <c r="AN21" s="445">
        <f t="shared" si="7"/>
        <v>0</v>
      </c>
      <c r="AO21" s="446">
        <f t="shared" si="7"/>
        <v>0</v>
      </c>
      <c r="AP21" s="444">
        <f t="shared" si="7"/>
        <v>0</v>
      </c>
      <c r="AQ21" s="445">
        <f t="shared" si="7"/>
        <v>0</v>
      </c>
      <c r="AR21" s="445">
        <f t="shared" si="7"/>
        <v>0</v>
      </c>
      <c r="AS21" s="445">
        <f t="shared" si="7"/>
        <v>0</v>
      </c>
      <c r="AT21" s="445">
        <f t="shared" si="7"/>
        <v>0</v>
      </c>
      <c r="AU21" s="446">
        <f t="shared" si="7"/>
        <v>0</v>
      </c>
      <c r="AV21" s="444">
        <f t="shared" si="9"/>
        <v>0</v>
      </c>
      <c r="AW21" s="445">
        <f t="shared" si="9"/>
        <v>0</v>
      </c>
      <c r="AX21" s="445">
        <f t="shared" si="9"/>
        <v>0</v>
      </c>
      <c r="AY21" s="445">
        <f t="shared" si="9"/>
        <v>0</v>
      </c>
      <c r="AZ21" s="445">
        <f t="shared" si="9"/>
        <v>0</v>
      </c>
      <c r="BA21" s="446">
        <f t="shared" si="9"/>
        <v>0</v>
      </c>
      <c r="BB21" s="444">
        <f t="shared" si="9"/>
        <v>0</v>
      </c>
      <c r="BC21" s="445">
        <f t="shared" si="9"/>
        <v>0</v>
      </c>
      <c r="BD21" s="445">
        <f t="shared" si="9"/>
        <v>0</v>
      </c>
      <c r="BE21" s="445">
        <f t="shared" si="9"/>
        <v>0</v>
      </c>
      <c r="BF21" s="445">
        <f t="shared" si="9"/>
        <v>0</v>
      </c>
      <c r="BG21" s="446">
        <f t="shared" si="9"/>
        <v>0</v>
      </c>
      <c r="BH21" s="444">
        <f t="shared" si="7"/>
        <v>0</v>
      </c>
      <c r="BI21" s="445">
        <f t="shared" si="7"/>
        <v>0</v>
      </c>
      <c r="BJ21" s="445">
        <f t="shared" si="7"/>
        <v>0</v>
      </c>
      <c r="BK21" s="445">
        <f t="shared" si="7"/>
        <v>0</v>
      </c>
      <c r="BL21" s="445">
        <f t="shared" si="6"/>
        <v>0</v>
      </c>
      <c r="BM21" s="468">
        <f t="shared" si="6"/>
        <v>0</v>
      </c>
    </row>
    <row r="22" spans="3:65" s="467" customFormat="1" ht="16.5" hidden="1" customHeight="1">
      <c r="C22" s="454"/>
      <c r="D22" s="455"/>
      <c r="E22" s="456"/>
      <c r="F22" s="457" t="str">
        <f t="shared" si="10"/>
        <v>-</v>
      </c>
      <c r="G22" s="566" t="s">
        <v>1097</v>
      </c>
      <c r="H22" s="459" t="s">
        <v>196</v>
      </c>
      <c r="I22" s="460">
        <v>90</v>
      </c>
      <c r="J22" s="461">
        <v>150</v>
      </c>
      <c r="K22" s="462">
        <v>3</v>
      </c>
      <c r="L22" s="463">
        <f t="shared" si="5"/>
        <v>0</v>
      </c>
      <c r="M22" s="464">
        <f t="shared" si="5"/>
        <v>0</v>
      </c>
      <c r="N22" s="464">
        <f t="shared" si="5"/>
        <v>0</v>
      </c>
      <c r="O22" s="464">
        <f t="shared" si="5"/>
        <v>0</v>
      </c>
      <c r="P22" s="464">
        <f t="shared" si="5"/>
        <v>0</v>
      </c>
      <c r="Q22" s="465">
        <f t="shared" si="5"/>
        <v>0</v>
      </c>
      <c r="R22" s="463">
        <f t="shared" si="5"/>
        <v>0</v>
      </c>
      <c r="S22" s="464">
        <f t="shared" si="5"/>
        <v>0</v>
      </c>
      <c r="T22" s="464">
        <f t="shared" si="5"/>
        <v>0</v>
      </c>
      <c r="U22" s="464">
        <f t="shared" si="5"/>
        <v>0</v>
      </c>
      <c r="V22" s="464">
        <f t="shared" si="5"/>
        <v>0</v>
      </c>
      <c r="W22" s="465">
        <f t="shared" si="5"/>
        <v>0</v>
      </c>
      <c r="X22" s="463">
        <f t="shared" si="5"/>
        <v>0</v>
      </c>
      <c r="Y22" s="464">
        <f t="shared" si="5"/>
        <v>0</v>
      </c>
      <c r="Z22" s="464">
        <f t="shared" si="5"/>
        <v>0</v>
      </c>
      <c r="AA22" s="464">
        <f t="shared" si="5"/>
        <v>0</v>
      </c>
      <c r="AB22" s="464">
        <f t="shared" si="5"/>
        <v>0</v>
      </c>
      <c r="AC22" s="465">
        <f t="shared" si="5"/>
        <v>0</v>
      </c>
      <c r="AD22" s="463">
        <f t="shared" si="5"/>
        <v>0</v>
      </c>
      <c r="AE22" s="464">
        <f t="shared" si="5"/>
        <v>3</v>
      </c>
      <c r="AF22" s="464">
        <f t="shared" si="5"/>
        <v>0</v>
      </c>
      <c r="AG22" s="464">
        <f t="shared" si="5"/>
        <v>0</v>
      </c>
      <c r="AH22" s="464">
        <f t="shared" si="5"/>
        <v>0</v>
      </c>
      <c r="AI22" s="465">
        <f t="shared" si="5"/>
        <v>0</v>
      </c>
      <c r="AJ22" s="463">
        <f t="shared" si="7"/>
        <v>0</v>
      </c>
      <c r="AK22" s="464">
        <f t="shared" si="7"/>
        <v>0</v>
      </c>
      <c r="AL22" s="464">
        <f t="shared" si="7"/>
        <v>0</v>
      </c>
      <c r="AM22" s="464">
        <f t="shared" si="7"/>
        <v>0</v>
      </c>
      <c r="AN22" s="464">
        <f t="shared" si="7"/>
        <v>0</v>
      </c>
      <c r="AO22" s="465">
        <f t="shared" si="7"/>
        <v>0</v>
      </c>
      <c r="AP22" s="463">
        <f t="shared" si="7"/>
        <v>0</v>
      </c>
      <c r="AQ22" s="464">
        <f t="shared" si="7"/>
        <v>0</v>
      </c>
      <c r="AR22" s="464">
        <f t="shared" si="7"/>
        <v>0</v>
      </c>
      <c r="AS22" s="464">
        <f t="shared" si="7"/>
        <v>0</v>
      </c>
      <c r="AT22" s="464">
        <f t="shared" si="7"/>
        <v>0</v>
      </c>
      <c r="AU22" s="465">
        <f t="shared" si="7"/>
        <v>0</v>
      </c>
      <c r="AV22" s="463">
        <f t="shared" si="9"/>
        <v>0</v>
      </c>
      <c r="AW22" s="464">
        <f t="shared" si="9"/>
        <v>0</v>
      </c>
      <c r="AX22" s="464">
        <f t="shared" si="9"/>
        <v>0</v>
      </c>
      <c r="AY22" s="464">
        <f t="shared" si="9"/>
        <v>0</v>
      </c>
      <c r="AZ22" s="464">
        <f t="shared" si="9"/>
        <v>0</v>
      </c>
      <c r="BA22" s="465">
        <f t="shared" si="9"/>
        <v>0</v>
      </c>
      <c r="BB22" s="463">
        <f t="shared" si="9"/>
        <v>0</v>
      </c>
      <c r="BC22" s="464">
        <f t="shared" si="9"/>
        <v>0</v>
      </c>
      <c r="BD22" s="464">
        <f t="shared" si="9"/>
        <v>0</v>
      </c>
      <c r="BE22" s="464">
        <f t="shared" si="9"/>
        <v>0</v>
      </c>
      <c r="BF22" s="464">
        <f t="shared" si="9"/>
        <v>0</v>
      </c>
      <c r="BG22" s="465">
        <f t="shared" si="9"/>
        <v>0</v>
      </c>
      <c r="BH22" s="463">
        <f t="shared" si="7"/>
        <v>0</v>
      </c>
      <c r="BI22" s="464">
        <f t="shared" si="7"/>
        <v>0</v>
      </c>
      <c r="BJ22" s="464">
        <f t="shared" si="7"/>
        <v>0</v>
      </c>
      <c r="BK22" s="464">
        <f t="shared" si="7"/>
        <v>0</v>
      </c>
      <c r="BL22" s="464">
        <f t="shared" si="6"/>
        <v>0</v>
      </c>
      <c r="BM22" s="466">
        <f t="shared" si="6"/>
        <v>0</v>
      </c>
    </row>
    <row r="23" spans="3:65" s="467" customFormat="1" ht="16.5" hidden="1" customHeight="1">
      <c r="C23" s="454"/>
      <c r="D23" s="455"/>
      <c r="E23" s="456"/>
      <c r="F23" s="457" t="str">
        <f t="shared" si="10"/>
        <v>-</v>
      </c>
      <c r="G23" s="566" t="s">
        <v>1097</v>
      </c>
      <c r="H23" s="459" t="s">
        <v>196</v>
      </c>
      <c r="I23" s="460">
        <v>45</v>
      </c>
      <c r="J23" s="461">
        <v>150</v>
      </c>
      <c r="K23" s="462">
        <v>14</v>
      </c>
      <c r="L23" s="463">
        <f t="shared" si="5"/>
        <v>0</v>
      </c>
      <c r="M23" s="464">
        <f t="shared" si="5"/>
        <v>0</v>
      </c>
      <c r="N23" s="464">
        <f t="shared" si="5"/>
        <v>0</v>
      </c>
      <c r="O23" s="464">
        <f t="shared" si="5"/>
        <v>0</v>
      </c>
      <c r="P23" s="464">
        <f t="shared" si="5"/>
        <v>0</v>
      </c>
      <c r="Q23" s="465">
        <f t="shared" si="5"/>
        <v>0</v>
      </c>
      <c r="R23" s="463">
        <f t="shared" si="5"/>
        <v>0</v>
      </c>
      <c r="S23" s="464">
        <f t="shared" si="5"/>
        <v>0</v>
      </c>
      <c r="T23" s="464">
        <f t="shared" si="5"/>
        <v>0</v>
      </c>
      <c r="U23" s="464">
        <f t="shared" si="5"/>
        <v>0</v>
      </c>
      <c r="V23" s="464">
        <f t="shared" si="5"/>
        <v>0</v>
      </c>
      <c r="W23" s="465">
        <f t="shared" si="5"/>
        <v>0</v>
      </c>
      <c r="X23" s="463">
        <f t="shared" si="5"/>
        <v>0</v>
      </c>
      <c r="Y23" s="464">
        <f t="shared" si="5"/>
        <v>14</v>
      </c>
      <c r="Z23" s="464">
        <f t="shared" si="5"/>
        <v>0</v>
      </c>
      <c r="AA23" s="464">
        <f t="shared" ref="AA23:AI25" si="12">+IF($G23="CODO",IF($I23=AA$10,IF($J23=AA$11,$K23,0),0),0)</f>
        <v>0</v>
      </c>
      <c r="AB23" s="464">
        <f t="shared" si="12"/>
        <v>0</v>
      </c>
      <c r="AC23" s="465">
        <f t="shared" si="12"/>
        <v>0</v>
      </c>
      <c r="AD23" s="463">
        <f t="shared" si="12"/>
        <v>0</v>
      </c>
      <c r="AE23" s="464">
        <f t="shared" si="12"/>
        <v>0</v>
      </c>
      <c r="AF23" s="464">
        <f t="shared" si="12"/>
        <v>0</v>
      </c>
      <c r="AG23" s="464">
        <f t="shared" si="12"/>
        <v>0</v>
      </c>
      <c r="AH23" s="464">
        <f t="shared" si="12"/>
        <v>0</v>
      </c>
      <c r="AI23" s="465">
        <f t="shared" si="12"/>
        <v>0</v>
      </c>
      <c r="AJ23" s="463">
        <f t="shared" si="7"/>
        <v>0</v>
      </c>
      <c r="AK23" s="464">
        <f t="shared" si="7"/>
        <v>0</v>
      </c>
      <c r="AL23" s="464">
        <f t="shared" si="7"/>
        <v>0</v>
      </c>
      <c r="AM23" s="464">
        <f t="shared" si="7"/>
        <v>0</v>
      </c>
      <c r="AN23" s="464">
        <f t="shared" si="7"/>
        <v>0</v>
      </c>
      <c r="AO23" s="465">
        <f t="shared" si="7"/>
        <v>0</v>
      </c>
      <c r="AP23" s="463">
        <f t="shared" si="7"/>
        <v>0</v>
      </c>
      <c r="AQ23" s="464">
        <f t="shared" si="7"/>
        <v>0</v>
      </c>
      <c r="AR23" s="464">
        <f t="shared" si="7"/>
        <v>0</v>
      </c>
      <c r="AS23" s="464">
        <f t="shared" si="7"/>
        <v>0</v>
      </c>
      <c r="AT23" s="464">
        <f t="shared" si="7"/>
        <v>0</v>
      </c>
      <c r="AU23" s="465">
        <f t="shared" si="7"/>
        <v>0</v>
      </c>
      <c r="AV23" s="463">
        <f t="shared" si="9"/>
        <v>0</v>
      </c>
      <c r="AW23" s="464">
        <f t="shared" si="9"/>
        <v>0</v>
      </c>
      <c r="AX23" s="464">
        <f t="shared" si="9"/>
        <v>0</v>
      </c>
      <c r="AY23" s="464">
        <f t="shared" si="9"/>
        <v>0</v>
      </c>
      <c r="AZ23" s="464">
        <f t="shared" si="9"/>
        <v>0</v>
      </c>
      <c r="BA23" s="465">
        <f t="shared" si="9"/>
        <v>0</v>
      </c>
      <c r="BB23" s="463">
        <f t="shared" si="9"/>
        <v>0</v>
      </c>
      <c r="BC23" s="464">
        <f t="shared" si="9"/>
        <v>0</v>
      </c>
      <c r="BD23" s="464">
        <f t="shared" si="9"/>
        <v>0</v>
      </c>
      <c r="BE23" s="464">
        <f t="shared" si="9"/>
        <v>0</v>
      </c>
      <c r="BF23" s="464">
        <f t="shared" si="9"/>
        <v>0</v>
      </c>
      <c r="BG23" s="465">
        <f t="shared" si="9"/>
        <v>0</v>
      </c>
      <c r="BH23" s="463">
        <f t="shared" si="7"/>
        <v>0</v>
      </c>
      <c r="BI23" s="464">
        <f t="shared" si="7"/>
        <v>0</v>
      </c>
      <c r="BJ23" s="464">
        <f t="shared" si="7"/>
        <v>0</v>
      </c>
      <c r="BK23" s="464">
        <f t="shared" si="7"/>
        <v>0</v>
      </c>
      <c r="BL23" s="464">
        <f t="shared" si="6"/>
        <v>0</v>
      </c>
      <c r="BM23" s="466">
        <f t="shared" si="6"/>
        <v>0</v>
      </c>
    </row>
    <row r="24" spans="3:65" s="467" customFormat="1" ht="16.5" hidden="1" customHeight="1">
      <c r="C24" s="454"/>
      <c r="D24" s="455"/>
      <c r="E24" s="456"/>
      <c r="F24" s="457" t="str">
        <f t="shared" si="10"/>
        <v>-</v>
      </c>
      <c r="G24" s="566" t="s">
        <v>1097</v>
      </c>
      <c r="H24" s="459" t="s">
        <v>196</v>
      </c>
      <c r="I24" s="460">
        <v>22.5</v>
      </c>
      <c r="J24" s="461">
        <v>150</v>
      </c>
      <c r="K24" s="462">
        <v>10</v>
      </c>
      <c r="L24" s="463">
        <f t="shared" ref="L24:AA25" si="13">+IF($G24="CODO",IF($I24=L$10,IF($J24=L$11,$K24,0),0),0)</f>
        <v>0</v>
      </c>
      <c r="M24" s="464">
        <f t="shared" si="13"/>
        <v>0</v>
      </c>
      <c r="N24" s="464">
        <f t="shared" si="13"/>
        <v>0</v>
      </c>
      <c r="O24" s="464">
        <f t="shared" si="13"/>
        <v>0</v>
      </c>
      <c r="P24" s="464">
        <f t="shared" si="13"/>
        <v>0</v>
      </c>
      <c r="Q24" s="465">
        <f t="shared" si="13"/>
        <v>0</v>
      </c>
      <c r="R24" s="463">
        <f t="shared" si="13"/>
        <v>0</v>
      </c>
      <c r="S24" s="464">
        <f t="shared" si="13"/>
        <v>10</v>
      </c>
      <c r="T24" s="464">
        <f t="shared" si="13"/>
        <v>0</v>
      </c>
      <c r="U24" s="464">
        <f t="shared" si="13"/>
        <v>0</v>
      </c>
      <c r="V24" s="464">
        <f t="shared" si="13"/>
        <v>0</v>
      </c>
      <c r="W24" s="465">
        <f t="shared" si="13"/>
        <v>0</v>
      </c>
      <c r="X24" s="463">
        <f t="shared" si="13"/>
        <v>0</v>
      </c>
      <c r="Y24" s="464">
        <f t="shared" si="13"/>
        <v>0</v>
      </c>
      <c r="Z24" s="464">
        <f t="shared" si="13"/>
        <v>0</v>
      </c>
      <c r="AA24" s="464">
        <f t="shared" si="13"/>
        <v>0</v>
      </c>
      <c r="AB24" s="464">
        <f t="shared" si="12"/>
        <v>0</v>
      </c>
      <c r="AC24" s="465">
        <f t="shared" si="12"/>
        <v>0</v>
      </c>
      <c r="AD24" s="463">
        <f t="shared" si="12"/>
        <v>0</v>
      </c>
      <c r="AE24" s="464">
        <f t="shared" si="12"/>
        <v>0</v>
      </c>
      <c r="AF24" s="464">
        <f t="shared" si="12"/>
        <v>0</v>
      </c>
      <c r="AG24" s="464">
        <f t="shared" si="12"/>
        <v>0</v>
      </c>
      <c r="AH24" s="464">
        <f t="shared" si="12"/>
        <v>0</v>
      </c>
      <c r="AI24" s="465">
        <f t="shared" si="12"/>
        <v>0</v>
      </c>
      <c r="AJ24" s="463">
        <f t="shared" si="7"/>
        <v>0</v>
      </c>
      <c r="AK24" s="464">
        <f t="shared" si="7"/>
        <v>0</v>
      </c>
      <c r="AL24" s="464">
        <f t="shared" si="7"/>
        <v>0</v>
      </c>
      <c r="AM24" s="464">
        <f t="shared" si="7"/>
        <v>0</v>
      </c>
      <c r="AN24" s="464">
        <f t="shared" si="7"/>
        <v>0</v>
      </c>
      <c r="AO24" s="465">
        <f t="shared" si="7"/>
        <v>0</v>
      </c>
      <c r="AP24" s="463">
        <f t="shared" si="7"/>
        <v>0</v>
      </c>
      <c r="AQ24" s="464">
        <f t="shared" si="7"/>
        <v>0</v>
      </c>
      <c r="AR24" s="464">
        <f t="shared" si="7"/>
        <v>0</v>
      </c>
      <c r="AS24" s="464">
        <f t="shared" si="7"/>
        <v>0</v>
      </c>
      <c r="AT24" s="464">
        <f t="shared" si="7"/>
        <v>0</v>
      </c>
      <c r="AU24" s="465">
        <f t="shared" si="7"/>
        <v>0</v>
      </c>
      <c r="AV24" s="463">
        <f t="shared" si="9"/>
        <v>0</v>
      </c>
      <c r="AW24" s="464">
        <f t="shared" si="9"/>
        <v>0</v>
      </c>
      <c r="AX24" s="464">
        <f t="shared" si="9"/>
        <v>0</v>
      </c>
      <c r="AY24" s="464">
        <f t="shared" si="9"/>
        <v>0</v>
      </c>
      <c r="AZ24" s="464">
        <f t="shared" si="9"/>
        <v>0</v>
      </c>
      <c r="BA24" s="465">
        <f t="shared" si="9"/>
        <v>0</v>
      </c>
      <c r="BB24" s="463">
        <f t="shared" si="9"/>
        <v>0</v>
      </c>
      <c r="BC24" s="464">
        <f t="shared" si="9"/>
        <v>0</v>
      </c>
      <c r="BD24" s="464">
        <f t="shared" si="9"/>
        <v>0</v>
      </c>
      <c r="BE24" s="464">
        <f t="shared" si="9"/>
        <v>0</v>
      </c>
      <c r="BF24" s="464">
        <f t="shared" si="9"/>
        <v>0</v>
      </c>
      <c r="BG24" s="465">
        <f t="shared" si="9"/>
        <v>0</v>
      </c>
      <c r="BH24" s="463">
        <f t="shared" si="7"/>
        <v>0</v>
      </c>
      <c r="BI24" s="464">
        <f t="shared" si="7"/>
        <v>0</v>
      </c>
      <c r="BJ24" s="464">
        <f t="shared" si="7"/>
        <v>0</v>
      </c>
      <c r="BK24" s="464">
        <f t="shared" si="7"/>
        <v>0</v>
      </c>
      <c r="BL24" s="464">
        <f t="shared" si="6"/>
        <v>0</v>
      </c>
      <c r="BM24" s="466">
        <f t="shared" si="6"/>
        <v>0</v>
      </c>
    </row>
    <row r="25" spans="3:65" s="467" customFormat="1" ht="16.5" hidden="1" customHeight="1">
      <c r="C25" s="454"/>
      <c r="D25" s="455"/>
      <c r="E25" s="456"/>
      <c r="F25" s="457" t="str">
        <f t="shared" si="10"/>
        <v>-</v>
      </c>
      <c r="G25" s="566" t="s">
        <v>1097</v>
      </c>
      <c r="H25" s="459" t="s">
        <v>196</v>
      </c>
      <c r="I25" s="460">
        <v>11.25</v>
      </c>
      <c r="J25" s="461">
        <v>150</v>
      </c>
      <c r="K25" s="462">
        <v>15</v>
      </c>
      <c r="L25" s="463">
        <f t="shared" si="13"/>
        <v>0</v>
      </c>
      <c r="M25" s="464">
        <f t="shared" si="13"/>
        <v>15</v>
      </c>
      <c r="N25" s="464">
        <f t="shared" si="13"/>
        <v>0</v>
      </c>
      <c r="O25" s="464">
        <f t="shared" si="13"/>
        <v>0</v>
      </c>
      <c r="P25" s="464">
        <f t="shared" si="13"/>
        <v>0</v>
      </c>
      <c r="Q25" s="465">
        <f t="shared" si="13"/>
        <v>0</v>
      </c>
      <c r="R25" s="463">
        <f t="shared" si="13"/>
        <v>0</v>
      </c>
      <c r="S25" s="464">
        <f t="shared" si="13"/>
        <v>0</v>
      </c>
      <c r="T25" s="464">
        <f t="shared" si="13"/>
        <v>0</v>
      </c>
      <c r="U25" s="464">
        <f t="shared" si="13"/>
        <v>0</v>
      </c>
      <c r="V25" s="464">
        <f t="shared" si="13"/>
        <v>0</v>
      </c>
      <c r="W25" s="465">
        <f t="shared" si="13"/>
        <v>0</v>
      </c>
      <c r="X25" s="463">
        <f t="shared" si="13"/>
        <v>0</v>
      </c>
      <c r="Y25" s="464">
        <f t="shared" si="13"/>
        <v>0</v>
      </c>
      <c r="Z25" s="464">
        <f t="shared" si="13"/>
        <v>0</v>
      </c>
      <c r="AA25" s="464">
        <f t="shared" si="13"/>
        <v>0</v>
      </c>
      <c r="AB25" s="464">
        <f t="shared" si="12"/>
        <v>0</v>
      </c>
      <c r="AC25" s="465">
        <f t="shared" si="12"/>
        <v>0</v>
      </c>
      <c r="AD25" s="463">
        <f t="shared" si="12"/>
        <v>0</v>
      </c>
      <c r="AE25" s="464">
        <f t="shared" si="12"/>
        <v>0</v>
      </c>
      <c r="AF25" s="464">
        <f t="shared" si="12"/>
        <v>0</v>
      </c>
      <c r="AG25" s="464">
        <f t="shared" si="12"/>
        <v>0</v>
      </c>
      <c r="AH25" s="464">
        <f t="shared" si="12"/>
        <v>0</v>
      </c>
      <c r="AI25" s="465">
        <f t="shared" si="12"/>
        <v>0</v>
      </c>
      <c r="AJ25" s="463">
        <f t="shared" si="7"/>
        <v>0</v>
      </c>
      <c r="AK25" s="464">
        <f t="shared" si="7"/>
        <v>0</v>
      </c>
      <c r="AL25" s="464">
        <f t="shared" si="7"/>
        <v>0</v>
      </c>
      <c r="AM25" s="464">
        <f t="shared" si="7"/>
        <v>0</v>
      </c>
      <c r="AN25" s="464">
        <f t="shared" si="7"/>
        <v>0</v>
      </c>
      <c r="AO25" s="465">
        <f t="shared" si="7"/>
        <v>0</v>
      </c>
      <c r="AP25" s="463">
        <f t="shared" si="7"/>
        <v>0</v>
      </c>
      <c r="AQ25" s="464">
        <f t="shared" si="7"/>
        <v>0</v>
      </c>
      <c r="AR25" s="464">
        <f t="shared" si="7"/>
        <v>0</v>
      </c>
      <c r="AS25" s="464">
        <f t="shared" si="7"/>
        <v>0</v>
      </c>
      <c r="AT25" s="464">
        <f t="shared" si="7"/>
        <v>0</v>
      </c>
      <c r="AU25" s="465">
        <f t="shared" si="7"/>
        <v>0</v>
      </c>
      <c r="AV25" s="463">
        <f t="shared" si="9"/>
        <v>0</v>
      </c>
      <c r="AW25" s="464">
        <f t="shared" si="9"/>
        <v>0</v>
      </c>
      <c r="AX25" s="464">
        <f t="shared" si="9"/>
        <v>0</v>
      </c>
      <c r="AY25" s="464">
        <f t="shared" si="9"/>
        <v>0</v>
      </c>
      <c r="AZ25" s="464">
        <f t="shared" si="9"/>
        <v>0</v>
      </c>
      <c r="BA25" s="465">
        <f t="shared" si="9"/>
        <v>0</v>
      </c>
      <c r="BB25" s="463">
        <f t="shared" si="9"/>
        <v>0</v>
      </c>
      <c r="BC25" s="464">
        <f t="shared" si="9"/>
        <v>0</v>
      </c>
      <c r="BD25" s="464">
        <f t="shared" si="9"/>
        <v>0</v>
      </c>
      <c r="BE25" s="464">
        <f t="shared" si="9"/>
        <v>0</v>
      </c>
      <c r="BF25" s="464">
        <f t="shared" si="9"/>
        <v>0</v>
      </c>
      <c r="BG25" s="465">
        <f t="shared" si="9"/>
        <v>0</v>
      </c>
      <c r="BH25" s="463">
        <f t="shared" si="7"/>
        <v>0</v>
      </c>
      <c r="BI25" s="464">
        <f t="shared" si="7"/>
        <v>0</v>
      </c>
      <c r="BJ25" s="464">
        <f t="shared" si="7"/>
        <v>0</v>
      </c>
      <c r="BK25" s="464">
        <f t="shared" si="7"/>
        <v>0</v>
      </c>
      <c r="BL25" s="464">
        <f t="shared" si="6"/>
        <v>0</v>
      </c>
      <c r="BM25" s="466">
        <f t="shared" si="6"/>
        <v>0</v>
      </c>
    </row>
    <row r="26" spans="3:65" s="467" customFormat="1" ht="16.5" hidden="1" customHeight="1">
      <c r="C26" s="435" t="s">
        <v>1103</v>
      </c>
      <c r="D26" s="436"/>
      <c r="E26" s="437"/>
      <c r="F26" s="438" t="str">
        <f>+CONCATENATE(D26,"-",E26)</f>
        <v>-</v>
      </c>
      <c r="G26" s="565"/>
      <c r="H26" s="440"/>
      <c r="I26" s="441"/>
      <c r="J26" s="442"/>
      <c r="K26" s="443">
        <f>+IF(I26&gt;1,1,0)</f>
        <v>0</v>
      </c>
      <c r="L26" s="444">
        <f t="shared" ref="L26:AI29" si="14">+IF($G26="CODO",IF($I26=L$10,IF($J26=L$11,$K26,0),0),0)</f>
        <v>0</v>
      </c>
      <c r="M26" s="445">
        <f t="shared" si="14"/>
        <v>0</v>
      </c>
      <c r="N26" s="445">
        <f t="shared" si="14"/>
        <v>0</v>
      </c>
      <c r="O26" s="445">
        <f t="shared" si="14"/>
        <v>0</v>
      </c>
      <c r="P26" s="445">
        <f t="shared" si="14"/>
        <v>0</v>
      </c>
      <c r="Q26" s="446">
        <f t="shared" si="14"/>
        <v>0</v>
      </c>
      <c r="R26" s="444">
        <f t="shared" si="14"/>
        <v>0</v>
      </c>
      <c r="S26" s="445">
        <f t="shared" si="14"/>
        <v>0</v>
      </c>
      <c r="T26" s="445">
        <f t="shared" si="14"/>
        <v>0</v>
      </c>
      <c r="U26" s="445">
        <f t="shared" si="14"/>
        <v>0</v>
      </c>
      <c r="V26" s="445">
        <f t="shared" si="14"/>
        <v>0</v>
      </c>
      <c r="W26" s="446">
        <f t="shared" si="14"/>
        <v>0</v>
      </c>
      <c r="X26" s="444">
        <f t="shared" si="14"/>
        <v>0</v>
      </c>
      <c r="Y26" s="445">
        <f t="shared" si="14"/>
        <v>0</v>
      </c>
      <c r="Z26" s="445">
        <f t="shared" si="14"/>
        <v>0</v>
      </c>
      <c r="AA26" s="445">
        <f t="shared" si="14"/>
        <v>0</v>
      </c>
      <c r="AB26" s="445">
        <f t="shared" si="14"/>
        <v>0</v>
      </c>
      <c r="AC26" s="446">
        <f t="shared" si="14"/>
        <v>0</v>
      </c>
      <c r="AD26" s="444">
        <f t="shared" si="14"/>
        <v>0</v>
      </c>
      <c r="AE26" s="445">
        <f t="shared" si="14"/>
        <v>0</v>
      </c>
      <c r="AF26" s="445">
        <f t="shared" si="14"/>
        <v>0</v>
      </c>
      <c r="AG26" s="445">
        <f t="shared" si="14"/>
        <v>0</v>
      </c>
      <c r="AH26" s="445">
        <f t="shared" si="14"/>
        <v>0</v>
      </c>
      <c r="AI26" s="446">
        <f t="shared" si="14"/>
        <v>0</v>
      </c>
      <c r="AJ26" s="444">
        <f t="shared" ref="AJ26:BK29" si="15">+IF($G26=AJ$10,IF($I26=AJ$11,$K26,0),0)</f>
        <v>0</v>
      </c>
      <c r="AK26" s="445">
        <f t="shared" si="15"/>
        <v>0</v>
      </c>
      <c r="AL26" s="445">
        <f t="shared" si="15"/>
        <v>0</v>
      </c>
      <c r="AM26" s="445">
        <f t="shared" si="15"/>
        <v>0</v>
      </c>
      <c r="AN26" s="445">
        <f t="shared" si="15"/>
        <v>0</v>
      </c>
      <c r="AO26" s="446">
        <f t="shared" si="15"/>
        <v>0</v>
      </c>
      <c r="AP26" s="444">
        <f t="shared" si="15"/>
        <v>0</v>
      </c>
      <c r="AQ26" s="445">
        <f t="shared" si="15"/>
        <v>0</v>
      </c>
      <c r="AR26" s="445">
        <f t="shared" si="15"/>
        <v>0</v>
      </c>
      <c r="AS26" s="445">
        <f t="shared" si="15"/>
        <v>0</v>
      </c>
      <c r="AT26" s="445">
        <f t="shared" si="15"/>
        <v>0</v>
      </c>
      <c r="AU26" s="446">
        <f t="shared" si="15"/>
        <v>0</v>
      </c>
      <c r="AV26" s="444">
        <f t="shared" si="15"/>
        <v>0</v>
      </c>
      <c r="AW26" s="445">
        <f t="shared" si="15"/>
        <v>0</v>
      </c>
      <c r="AX26" s="445">
        <f t="shared" si="15"/>
        <v>0</v>
      </c>
      <c r="AY26" s="445">
        <f t="shared" si="15"/>
        <v>0</v>
      </c>
      <c r="AZ26" s="445">
        <f t="shared" si="15"/>
        <v>0</v>
      </c>
      <c r="BA26" s="446">
        <f t="shared" si="15"/>
        <v>0</v>
      </c>
      <c r="BB26" s="444">
        <f t="shared" si="15"/>
        <v>0</v>
      </c>
      <c r="BC26" s="445">
        <f t="shared" si="15"/>
        <v>0</v>
      </c>
      <c r="BD26" s="445">
        <f t="shared" si="15"/>
        <v>0</v>
      </c>
      <c r="BE26" s="445">
        <f t="shared" si="15"/>
        <v>0</v>
      </c>
      <c r="BF26" s="445">
        <f t="shared" si="15"/>
        <v>0</v>
      </c>
      <c r="BG26" s="446">
        <f t="shared" si="15"/>
        <v>0</v>
      </c>
      <c r="BH26" s="444">
        <f t="shared" si="15"/>
        <v>0</v>
      </c>
      <c r="BI26" s="445">
        <f t="shared" si="15"/>
        <v>0</v>
      </c>
      <c r="BJ26" s="445">
        <f t="shared" si="15"/>
        <v>0</v>
      </c>
      <c r="BK26" s="445">
        <f t="shared" si="15"/>
        <v>0</v>
      </c>
      <c r="BL26" s="445">
        <f t="shared" ref="BL26:BM29" si="16">+IF($G26=BL$10,IF($I26=BL$11,$K26,0),0)</f>
        <v>0</v>
      </c>
      <c r="BM26" s="468">
        <f t="shared" si="16"/>
        <v>0</v>
      </c>
    </row>
    <row r="27" spans="3:65" s="467" customFormat="1" ht="16.5" hidden="1" customHeight="1">
      <c r="C27" s="454"/>
      <c r="D27" s="455"/>
      <c r="E27" s="456"/>
      <c r="F27" s="457" t="str">
        <f t="shared" si="10"/>
        <v>-</v>
      </c>
      <c r="G27" s="566" t="s">
        <v>1097</v>
      </c>
      <c r="H27" s="459" t="s">
        <v>196</v>
      </c>
      <c r="I27" s="460">
        <v>45</v>
      </c>
      <c r="J27" s="461">
        <v>250</v>
      </c>
      <c r="K27" s="462">
        <v>8</v>
      </c>
      <c r="L27" s="463">
        <f t="shared" si="14"/>
        <v>0</v>
      </c>
      <c r="M27" s="464">
        <f t="shared" si="14"/>
        <v>0</v>
      </c>
      <c r="N27" s="464">
        <f t="shared" si="14"/>
        <v>0</v>
      </c>
      <c r="O27" s="464">
        <f t="shared" si="14"/>
        <v>0</v>
      </c>
      <c r="P27" s="464">
        <f t="shared" si="14"/>
        <v>0</v>
      </c>
      <c r="Q27" s="465">
        <f t="shared" si="14"/>
        <v>0</v>
      </c>
      <c r="R27" s="463">
        <f t="shared" si="14"/>
        <v>0</v>
      </c>
      <c r="S27" s="464">
        <f t="shared" si="14"/>
        <v>0</v>
      </c>
      <c r="T27" s="464">
        <f t="shared" si="14"/>
        <v>0</v>
      </c>
      <c r="U27" s="464">
        <f t="shared" si="14"/>
        <v>0</v>
      </c>
      <c r="V27" s="464">
        <f t="shared" si="14"/>
        <v>0</v>
      </c>
      <c r="W27" s="465">
        <f t="shared" si="14"/>
        <v>0</v>
      </c>
      <c r="X27" s="463">
        <f t="shared" si="14"/>
        <v>0</v>
      </c>
      <c r="Y27" s="464">
        <f t="shared" si="14"/>
        <v>0</v>
      </c>
      <c r="Z27" s="464">
        <f t="shared" si="14"/>
        <v>0</v>
      </c>
      <c r="AA27" s="464">
        <f t="shared" ref="AA27:AH29" si="17">+IF($G27="CODO",IF($I27=AA$10,IF($J27=AA$11,$K27,0),0),0)</f>
        <v>8</v>
      </c>
      <c r="AB27" s="464">
        <f t="shared" si="17"/>
        <v>0</v>
      </c>
      <c r="AC27" s="465">
        <f t="shared" si="17"/>
        <v>0</v>
      </c>
      <c r="AD27" s="463">
        <f t="shared" si="17"/>
        <v>0</v>
      </c>
      <c r="AE27" s="464">
        <f t="shared" si="17"/>
        <v>0</v>
      </c>
      <c r="AF27" s="464">
        <f t="shared" si="17"/>
        <v>0</v>
      </c>
      <c r="AG27" s="464">
        <f t="shared" si="17"/>
        <v>0</v>
      </c>
      <c r="AH27" s="464">
        <f t="shared" si="17"/>
        <v>0</v>
      </c>
      <c r="AI27" s="465">
        <f t="shared" si="14"/>
        <v>0</v>
      </c>
      <c r="AJ27" s="463">
        <f t="shared" si="15"/>
        <v>0</v>
      </c>
      <c r="AK27" s="464">
        <f t="shared" si="15"/>
        <v>0</v>
      </c>
      <c r="AL27" s="464">
        <f t="shared" si="15"/>
        <v>0</v>
      </c>
      <c r="AM27" s="464">
        <f t="shared" si="15"/>
        <v>0</v>
      </c>
      <c r="AN27" s="464">
        <f t="shared" si="15"/>
        <v>0</v>
      </c>
      <c r="AO27" s="465">
        <f t="shared" si="15"/>
        <v>0</v>
      </c>
      <c r="AP27" s="463">
        <f t="shared" si="15"/>
        <v>0</v>
      </c>
      <c r="AQ27" s="464">
        <f t="shared" si="15"/>
        <v>0</v>
      </c>
      <c r="AR27" s="464">
        <f t="shared" si="15"/>
        <v>0</v>
      </c>
      <c r="AS27" s="464">
        <f t="shared" si="15"/>
        <v>0</v>
      </c>
      <c r="AT27" s="464">
        <f t="shared" si="15"/>
        <v>0</v>
      </c>
      <c r="AU27" s="465">
        <f t="shared" si="15"/>
        <v>0</v>
      </c>
      <c r="AV27" s="463">
        <f t="shared" si="15"/>
        <v>0</v>
      </c>
      <c r="AW27" s="464">
        <f t="shared" si="15"/>
        <v>0</v>
      </c>
      <c r="AX27" s="464">
        <f t="shared" si="15"/>
        <v>0</v>
      </c>
      <c r="AY27" s="464">
        <f t="shared" si="15"/>
        <v>0</v>
      </c>
      <c r="AZ27" s="464">
        <f t="shared" si="15"/>
        <v>0</v>
      </c>
      <c r="BA27" s="465">
        <f t="shared" si="15"/>
        <v>0</v>
      </c>
      <c r="BB27" s="463">
        <f t="shared" si="15"/>
        <v>0</v>
      </c>
      <c r="BC27" s="464">
        <f t="shared" si="15"/>
        <v>0</v>
      </c>
      <c r="BD27" s="464">
        <f t="shared" si="15"/>
        <v>0</v>
      </c>
      <c r="BE27" s="464">
        <f t="shared" si="15"/>
        <v>0</v>
      </c>
      <c r="BF27" s="464">
        <f t="shared" si="15"/>
        <v>0</v>
      </c>
      <c r="BG27" s="465">
        <f t="shared" si="15"/>
        <v>0</v>
      </c>
      <c r="BH27" s="463">
        <f t="shared" si="15"/>
        <v>0</v>
      </c>
      <c r="BI27" s="464">
        <f t="shared" si="15"/>
        <v>0</v>
      </c>
      <c r="BJ27" s="464">
        <f t="shared" si="15"/>
        <v>0</v>
      </c>
      <c r="BK27" s="464">
        <f t="shared" si="15"/>
        <v>0</v>
      </c>
      <c r="BL27" s="464">
        <f t="shared" si="16"/>
        <v>0</v>
      </c>
      <c r="BM27" s="466">
        <f t="shared" si="16"/>
        <v>0</v>
      </c>
    </row>
    <row r="28" spans="3:65" s="467" customFormat="1" ht="16.5" hidden="1" customHeight="1">
      <c r="C28" s="454"/>
      <c r="D28" s="455"/>
      <c r="E28" s="456"/>
      <c r="F28" s="457" t="str">
        <f t="shared" si="10"/>
        <v>-</v>
      </c>
      <c r="G28" s="566" t="s">
        <v>1097</v>
      </c>
      <c r="H28" s="459" t="s">
        <v>196</v>
      </c>
      <c r="I28" s="460">
        <v>22.5</v>
      </c>
      <c r="J28" s="461">
        <v>250</v>
      </c>
      <c r="K28" s="462">
        <v>8</v>
      </c>
      <c r="L28" s="463">
        <f t="shared" si="14"/>
        <v>0</v>
      </c>
      <c r="M28" s="464">
        <f t="shared" si="14"/>
        <v>0</v>
      </c>
      <c r="N28" s="464">
        <f t="shared" si="14"/>
        <v>0</v>
      </c>
      <c r="O28" s="464">
        <f t="shared" si="14"/>
        <v>0</v>
      </c>
      <c r="P28" s="464">
        <f t="shared" si="14"/>
        <v>0</v>
      </c>
      <c r="Q28" s="465">
        <f t="shared" si="14"/>
        <v>0</v>
      </c>
      <c r="R28" s="463">
        <f t="shared" si="14"/>
        <v>0</v>
      </c>
      <c r="S28" s="464">
        <f t="shared" si="14"/>
        <v>0</v>
      </c>
      <c r="T28" s="464">
        <f t="shared" si="14"/>
        <v>0</v>
      </c>
      <c r="U28" s="464">
        <f t="shared" si="14"/>
        <v>8</v>
      </c>
      <c r="V28" s="464">
        <f t="shared" si="14"/>
        <v>0</v>
      </c>
      <c r="W28" s="465">
        <f t="shared" si="14"/>
        <v>0</v>
      </c>
      <c r="X28" s="463">
        <f t="shared" si="14"/>
        <v>0</v>
      </c>
      <c r="Y28" s="464">
        <f t="shared" si="14"/>
        <v>0</v>
      </c>
      <c r="Z28" s="464">
        <f t="shared" si="14"/>
        <v>0</v>
      </c>
      <c r="AA28" s="464">
        <f t="shared" si="17"/>
        <v>0</v>
      </c>
      <c r="AB28" s="464">
        <f t="shared" si="17"/>
        <v>0</v>
      </c>
      <c r="AC28" s="465">
        <f t="shared" si="17"/>
        <v>0</v>
      </c>
      <c r="AD28" s="463">
        <f t="shared" si="17"/>
        <v>0</v>
      </c>
      <c r="AE28" s="464">
        <f t="shared" si="17"/>
        <v>0</v>
      </c>
      <c r="AF28" s="464">
        <f t="shared" si="17"/>
        <v>0</v>
      </c>
      <c r="AG28" s="464">
        <f t="shared" si="17"/>
        <v>0</v>
      </c>
      <c r="AH28" s="464">
        <f t="shared" si="17"/>
        <v>0</v>
      </c>
      <c r="AI28" s="465">
        <f t="shared" si="14"/>
        <v>0</v>
      </c>
      <c r="AJ28" s="463">
        <f t="shared" si="15"/>
        <v>0</v>
      </c>
      <c r="AK28" s="464">
        <f t="shared" si="15"/>
        <v>0</v>
      </c>
      <c r="AL28" s="464">
        <f t="shared" si="15"/>
        <v>0</v>
      </c>
      <c r="AM28" s="464">
        <f t="shared" si="15"/>
        <v>0</v>
      </c>
      <c r="AN28" s="464">
        <f t="shared" si="15"/>
        <v>0</v>
      </c>
      <c r="AO28" s="465">
        <f t="shared" si="15"/>
        <v>0</v>
      </c>
      <c r="AP28" s="463">
        <f t="shared" si="15"/>
        <v>0</v>
      </c>
      <c r="AQ28" s="464">
        <f t="shared" si="15"/>
        <v>0</v>
      </c>
      <c r="AR28" s="464">
        <f t="shared" si="15"/>
        <v>0</v>
      </c>
      <c r="AS28" s="464">
        <f t="shared" si="15"/>
        <v>0</v>
      </c>
      <c r="AT28" s="464">
        <f t="shared" si="15"/>
        <v>0</v>
      </c>
      <c r="AU28" s="465">
        <f t="shared" si="15"/>
        <v>0</v>
      </c>
      <c r="AV28" s="463">
        <f t="shared" si="15"/>
        <v>0</v>
      </c>
      <c r="AW28" s="464">
        <f t="shared" si="15"/>
        <v>0</v>
      </c>
      <c r="AX28" s="464">
        <f t="shared" si="15"/>
        <v>0</v>
      </c>
      <c r="AY28" s="464">
        <f t="shared" si="15"/>
        <v>0</v>
      </c>
      <c r="AZ28" s="464">
        <f t="shared" si="15"/>
        <v>0</v>
      </c>
      <c r="BA28" s="465">
        <f t="shared" si="15"/>
        <v>0</v>
      </c>
      <c r="BB28" s="463">
        <f t="shared" si="15"/>
        <v>0</v>
      </c>
      <c r="BC28" s="464">
        <f t="shared" si="15"/>
        <v>0</v>
      </c>
      <c r="BD28" s="464">
        <f t="shared" si="15"/>
        <v>0</v>
      </c>
      <c r="BE28" s="464">
        <f t="shared" si="15"/>
        <v>0</v>
      </c>
      <c r="BF28" s="464">
        <f t="shared" si="15"/>
        <v>0</v>
      </c>
      <c r="BG28" s="465">
        <f t="shared" si="15"/>
        <v>0</v>
      </c>
      <c r="BH28" s="463">
        <f t="shared" si="15"/>
        <v>0</v>
      </c>
      <c r="BI28" s="464">
        <f t="shared" si="15"/>
        <v>0</v>
      </c>
      <c r="BJ28" s="464">
        <f t="shared" si="15"/>
        <v>0</v>
      </c>
      <c r="BK28" s="464">
        <f t="shared" si="15"/>
        <v>0</v>
      </c>
      <c r="BL28" s="464">
        <f t="shared" si="16"/>
        <v>0</v>
      </c>
      <c r="BM28" s="466">
        <f t="shared" si="16"/>
        <v>0</v>
      </c>
    </row>
    <row r="29" spans="3:65" s="467" customFormat="1" ht="16.5" hidden="1" customHeight="1">
      <c r="C29" s="454"/>
      <c r="D29" s="455"/>
      <c r="E29" s="456"/>
      <c r="F29" s="457" t="str">
        <f t="shared" si="10"/>
        <v>-</v>
      </c>
      <c r="G29" s="566" t="s">
        <v>1097</v>
      </c>
      <c r="H29" s="459" t="s">
        <v>196</v>
      </c>
      <c r="I29" s="460">
        <v>11.25</v>
      </c>
      <c r="J29" s="461">
        <v>250</v>
      </c>
      <c r="K29" s="462">
        <v>7</v>
      </c>
      <c r="L29" s="463">
        <f t="shared" si="14"/>
        <v>0</v>
      </c>
      <c r="M29" s="464">
        <f t="shared" si="14"/>
        <v>0</v>
      </c>
      <c r="N29" s="464">
        <f t="shared" si="14"/>
        <v>0</v>
      </c>
      <c r="O29" s="464">
        <f t="shared" si="14"/>
        <v>7</v>
      </c>
      <c r="P29" s="464">
        <f t="shared" si="14"/>
        <v>0</v>
      </c>
      <c r="Q29" s="465">
        <f t="shared" si="14"/>
        <v>0</v>
      </c>
      <c r="R29" s="463">
        <f t="shared" si="14"/>
        <v>0</v>
      </c>
      <c r="S29" s="464">
        <f t="shared" si="14"/>
        <v>0</v>
      </c>
      <c r="T29" s="464">
        <f t="shared" si="14"/>
        <v>0</v>
      </c>
      <c r="U29" s="464">
        <f t="shared" si="14"/>
        <v>0</v>
      </c>
      <c r="V29" s="464">
        <f t="shared" si="14"/>
        <v>0</v>
      </c>
      <c r="W29" s="465">
        <f t="shared" si="14"/>
        <v>0</v>
      </c>
      <c r="X29" s="463">
        <f t="shared" si="14"/>
        <v>0</v>
      </c>
      <c r="Y29" s="464">
        <f t="shared" si="14"/>
        <v>0</v>
      </c>
      <c r="Z29" s="464">
        <f t="shared" si="14"/>
        <v>0</v>
      </c>
      <c r="AA29" s="464">
        <f t="shared" si="17"/>
        <v>0</v>
      </c>
      <c r="AB29" s="464">
        <f t="shared" si="17"/>
        <v>0</v>
      </c>
      <c r="AC29" s="465">
        <f t="shared" si="17"/>
        <v>0</v>
      </c>
      <c r="AD29" s="463">
        <f t="shared" si="17"/>
        <v>0</v>
      </c>
      <c r="AE29" s="464">
        <f t="shared" si="17"/>
        <v>0</v>
      </c>
      <c r="AF29" s="464">
        <f t="shared" si="17"/>
        <v>0</v>
      </c>
      <c r="AG29" s="464">
        <f t="shared" si="17"/>
        <v>0</v>
      </c>
      <c r="AH29" s="464">
        <f t="shared" si="17"/>
        <v>0</v>
      </c>
      <c r="AI29" s="465">
        <f t="shared" si="14"/>
        <v>0</v>
      </c>
      <c r="AJ29" s="463">
        <f t="shared" si="15"/>
        <v>0</v>
      </c>
      <c r="AK29" s="464">
        <f t="shared" si="15"/>
        <v>0</v>
      </c>
      <c r="AL29" s="464">
        <f t="shared" si="15"/>
        <v>0</v>
      </c>
      <c r="AM29" s="464">
        <f t="shared" si="15"/>
        <v>0</v>
      </c>
      <c r="AN29" s="464">
        <f t="shared" si="15"/>
        <v>0</v>
      </c>
      <c r="AO29" s="465">
        <f t="shared" si="15"/>
        <v>0</v>
      </c>
      <c r="AP29" s="463">
        <f t="shared" si="15"/>
        <v>0</v>
      </c>
      <c r="AQ29" s="464">
        <f t="shared" si="15"/>
        <v>0</v>
      </c>
      <c r="AR29" s="464">
        <f t="shared" si="15"/>
        <v>0</v>
      </c>
      <c r="AS29" s="464">
        <f t="shared" si="15"/>
        <v>0</v>
      </c>
      <c r="AT29" s="464">
        <f t="shared" si="15"/>
        <v>0</v>
      </c>
      <c r="AU29" s="465">
        <f t="shared" si="15"/>
        <v>0</v>
      </c>
      <c r="AV29" s="463">
        <f t="shared" si="15"/>
        <v>0</v>
      </c>
      <c r="AW29" s="464">
        <f t="shared" si="15"/>
        <v>0</v>
      </c>
      <c r="AX29" s="464">
        <f t="shared" si="15"/>
        <v>0</v>
      </c>
      <c r="AY29" s="464">
        <f t="shared" si="15"/>
        <v>0</v>
      </c>
      <c r="AZ29" s="464">
        <f t="shared" si="15"/>
        <v>0</v>
      </c>
      <c r="BA29" s="465">
        <f t="shared" si="15"/>
        <v>0</v>
      </c>
      <c r="BB29" s="463">
        <f t="shared" si="15"/>
        <v>0</v>
      </c>
      <c r="BC29" s="464">
        <f t="shared" si="15"/>
        <v>0</v>
      </c>
      <c r="BD29" s="464">
        <f t="shared" si="15"/>
        <v>0</v>
      </c>
      <c r="BE29" s="464">
        <f t="shared" si="15"/>
        <v>0</v>
      </c>
      <c r="BF29" s="464">
        <f t="shared" si="15"/>
        <v>0</v>
      </c>
      <c r="BG29" s="465">
        <f t="shared" si="15"/>
        <v>0</v>
      </c>
      <c r="BH29" s="463">
        <f t="shared" si="15"/>
        <v>0</v>
      </c>
      <c r="BI29" s="464">
        <f t="shared" si="15"/>
        <v>0</v>
      </c>
      <c r="BJ29" s="464">
        <f t="shared" si="15"/>
        <v>0</v>
      </c>
      <c r="BK29" s="464">
        <f t="shared" si="15"/>
        <v>0</v>
      </c>
      <c r="BL29" s="464">
        <f t="shared" si="16"/>
        <v>0</v>
      </c>
      <c r="BM29" s="466">
        <f t="shared" si="16"/>
        <v>0</v>
      </c>
    </row>
    <row r="30" spans="3:65" s="467" customFormat="1" ht="16.5" customHeight="1">
      <c r="C30" s="435" t="s">
        <v>1104</v>
      </c>
      <c r="D30" s="436"/>
      <c r="E30" s="437"/>
      <c r="F30" s="438" t="str">
        <f t="shared" ref="F30:F54" si="18">+CONCATENATE(D30,"-",E30)</f>
        <v>-</v>
      </c>
      <c r="G30" s="565"/>
      <c r="H30" s="440"/>
      <c r="I30" s="441"/>
      <c r="J30" s="442"/>
      <c r="K30" s="443">
        <f t="shared" ref="K30:K54" si="19">+IF(I30&gt;1,1,0)</f>
        <v>0</v>
      </c>
      <c r="L30" s="444">
        <f t="shared" ref="L30:AA35" si="20">+IF($G30="CODO",IF($I30=L$10,IF($J30=L$11,$K30,0),0),0)</f>
        <v>0</v>
      </c>
      <c r="M30" s="445">
        <f t="shared" si="20"/>
        <v>0</v>
      </c>
      <c r="N30" s="445">
        <f t="shared" si="20"/>
        <v>0</v>
      </c>
      <c r="O30" s="445">
        <f t="shared" si="20"/>
        <v>0</v>
      </c>
      <c r="P30" s="445">
        <f t="shared" si="20"/>
        <v>0</v>
      </c>
      <c r="Q30" s="446">
        <f t="shared" si="20"/>
        <v>0</v>
      </c>
      <c r="R30" s="444">
        <f t="shared" si="20"/>
        <v>0</v>
      </c>
      <c r="S30" s="445">
        <f t="shared" si="20"/>
        <v>0</v>
      </c>
      <c r="T30" s="445">
        <f t="shared" si="20"/>
        <v>0</v>
      </c>
      <c r="U30" s="445">
        <f t="shared" si="20"/>
        <v>0</v>
      </c>
      <c r="V30" s="445">
        <f t="shared" si="20"/>
        <v>0</v>
      </c>
      <c r="W30" s="446">
        <f t="shared" si="20"/>
        <v>0</v>
      </c>
      <c r="X30" s="444">
        <f t="shared" si="20"/>
        <v>0</v>
      </c>
      <c r="Y30" s="445">
        <f t="shared" si="20"/>
        <v>0</v>
      </c>
      <c r="Z30" s="445">
        <f t="shared" si="20"/>
        <v>0</v>
      </c>
      <c r="AA30" s="445">
        <f t="shared" si="20"/>
        <v>0</v>
      </c>
      <c r="AB30" s="445">
        <f t="shared" ref="AB30:AI35" si="21">+IF($G30="CODO",IF($I30=AB$10,IF($J30=AB$11,$K30,0),0),0)</f>
        <v>0</v>
      </c>
      <c r="AC30" s="446">
        <f t="shared" si="21"/>
        <v>0</v>
      </c>
      <c r="AD30" s="444">
        <f t="shared" si="21"/>
        <v>0</v>
      </c>
      <c r="AE30" s="445">
        <f t="shared" si="21"/>
        <v>0</v>
      </c>
      <c r="AF30" s="445">
        <f t="shared" si="21"/>
        <v>0</v>
      </c>
      <c r="AG30" s="445">
        <f t="shared" si="21"/>
        <v>0</v>
      </c>
      <c r="AH30" s="445">
        <f t="shared" si="21"/>
        <v>0</v>
      </c>
      <c r="AI30" s="446">
        <f t="shared" si="21"/>
        <v>0</v>
      </c>
      <c r="AJ30" s="444">
        <f t="shared" ref="AJ30:BK35" si="22">+IF($G30=AJ$10,IF($I30=AJ$11,$K30,0),0)</f>
        <v>0</v>
      </c>
      <c r="AK30" s="445">
        <f t="shared" si="22"/>
        <v>0</v>
      </c>
      <c r="AL30" s="445">
        <f t="shared" si="22"/>
        <v>0</v>
      </c>
      <c r="AM30" s="445">
        <f t="shared" si="22"/>
        <v>0</v>
      </c>
      <c r="AN30" s="445">
        <f t="shared" si="22"/>
        <v>0</v>
      </c>
      <c r="AO30" s="446">
        <f t="shared" si="22"/>
        <v>0</v>
      </c>
      <c r="AP30" s="444">
        <f t="shared" si="22"/>
        <v>0</v>
      </c>
      <c r="AQ30" s="445">
        <f t="shared" si="22"/>
        <v>0</v>
      </c>
      <c r="AR30" s="445">
        <f t="shared" si="22"/>
        <v>0</v>
      </c>
      <c r="AS30" s="445">
        <f t="shared" si="22"/>
        <v>0</v>
      </c>
      <c r="AT30" s="445">
        <f t="shared" si="22"/>
        <v>0</v>
      </c>
      <c r="AU30" s="446">
        <f t="shared" si="22"/>
        <v>0</v>
      </c>
      <c r="AV30" s="444">
        <f t="shared" si="22"/>
        <v>0</v>
      </c>
      <c r="AW30" s="445">
        <f t="shared" si="22"/>
        <v>0</v>
      </c>
      <c r="AX30" s="445">
        <f t="shared" si="22"/>
        <v>0</v>
      </c>
      <c r="AY30" s="445">
        <f t="shared" si="22"/>
        <v>0</v>
      </c>
      <c r="AZ30" s="445">
        <f t="shared" si="22"/>
        <v>0</v>
      </c>
      <c r="BA30" s="446">
        <f t="shared" si="22"/>
        <v>0</v>
      </c>
      <c r="BB30" s="444">
        <f t="shared" si="22"/>
        <v>0</v>
      </c>
      <c r="BC30" s="445">
        <f t="shared" si="22"/>
        <v>0</v>
      </c>
      <c r="BD30" s="445">
        <f t="shared" si="22"/>
        <v>0</v>
      </c>
      <c r="BE30" s="445">
        <f t="shared" si="22"/>
        <v>0</v>
      </c>
      <c r="BF30" s="445">
        <f t="shared" si="22"/>
        <v>0</v>
      </c>
      <c r="BG30" s="446">
        <f t="shared" si="22"/>
        <v>0</v>
      </c>
      <c r="BH30" s="444">
        <f t="shared" si="22"/>
        <v>0</v>
      </c>
      <c r="BI30" s="445">
        <f t="shared" si="22"/>
        <v>0</v>
      </c>
      <c r="BJ30" s="445">
        <f t="shared" si="22"/>
        <v>0</v>
      </c>
      <c r="BK30" s="445">
        <f t="shared" si="22"/>
        <v>0</v>
      </c>
      <c r="BL30" s="445">
        <f t="shared" ref="BL30:BM35" si="23">+IF($G30=BL$10,IF($I30=BL$11,$K30,0),0)</f>
        <v>0</v>
      </c>
      <c r="BM30" s="468">
        <f t="shared" si="23"/>
        <v>0</v>
      </c>
    </row>
    <row r="31" spans="3:65" s="467" customFormat="1" ht="16.5" customHeight="1">
      <c r="C31" s="454"/>
      <c r="D31" s="455"/>
      <c r="E31" s="456"/>
      <c r="F31" s="457" t="str">
        <f t="shared" si="18"/>
        <v>-</v>
      </c>
      <c r="G31" s="566" t="s">
        <v>1097</v>
      </c>
      <c r="H31" s="459" t="s">
        <v>196</v>
      </c>
      <c r="I31" s="460">
        <v>90</v>
      </c>
      <c r="J31" s="461">
        <v>100</v>
      </c>
      <c r="K31" s="462">
        <v>1</v>
      </c>
      <c r="L31" s="463">
        <f t="shared" si="20"/>
        <v>0</v>
      </c>
      <c r="M31" s="464">
        <f t="shared" si="20"/>
        <v>0</v>
      </c>
      <c r="N31" s="464">
        <f t="shared" si="20"/>
        <v>0</v>
      </c>
      <c r="O31" s="464">
        <f t="shared" si="20"/>
        <v>0</v>
      </c>
      <c r="P31" s="464">
        <f t="shared" si="20"/>
        <v>0</v>
      </c>
      <c r="Q31" s="465">
        <f t="shared" si="20"/>
        <v>0</v>
      </c>
      <c r="R31" s="463">
        <f t="shared" si="20"/>
        <v>0</v>
      </c>
      <c r="S31" s="464">
        <f t="shared" si="20"/>
        <v>0</v>
      </c>
      <c r="T31" s="464">
        <f t="shared" si="20"/>
        <v>0</v>
      </c>
      <c r="U31" s="464">
        <f t="shared" si="20"/>
        <v>0</v>
      </c>
      <c r="V31" s="464">
        <f t="shared" si="20"/>
        <v>0</v>
      </c>
      <c r="W31" s="465">
        <f t="shared" si="20"/>
        <v>0</v>
      </c>
      <c r="X31" s="463">
        <f t="shared" si="20"/>
        <v>0</v>
      </c>
      <c r="Y31" s="464">
        <f t="shared" si="20"/>
        <v>0</v>
      </c>
      <c r="Z31" s="464">
        <f t="shared" si="20"/>
        <v>0</v>
      </c>
      <c r="AA31" s="464">
        <f t="shared" si="20"/>
        <v>0</v>
      </c>
      <c r="AB31" s="464">
        <f t="shared" si="21"/>
        <v>0</v>
      </c>
      <c r="AC31" s="465">
        <f t="shared" si="21"/>
        <v>0</v>
      </c>
      <c r="AD31" s="463">
        <f t="shared" si="21"/>
        <v>1</v>
      </c>
      <c r="AE31" s="464">
        <f t="shared" si="21"/>
        <v>0</v>
      </c>
      <c r="AF31" s="464">
        <f t="shared" si="21"/>
        <v>0</v>
      </c>
      <c r="AG31" s="464">
        <f t="shared" si="21"/>
        <v>0</v>
      </c>
      <c r="AH31" s="464">
        <f t="shared" si="21"/>
        <v>0</v>
      </c>
      <c r="AI31" s="465">
        <f t="shared" si="21"/>
        <v>0</v>
      </c>
      <c r="AJ31" s="463">
        <f t="shared" si="22"/>
        <v>0</v>
      </c>
      <c r="AK31" s="464">
        <f t="shared" si="22"/>
        <v>0</v>
      </c>
      <c r="AL31" s="464">
        <f t="shared" si="22"/>
        <v>0</v>
      </c>
      <c r="AM31" s="464">
        <f t="shared" si="22"/>
        <v>0</v>
      </c>
      <c r="AN31" s="464">
        <f t="shared" si="22"/>
        <v>0</v>
      </c>
      <c r="AO31" s="465">
        <f t="shared" si="22"/>
        <v>0</v>
      </c>
      <c r="AP31" s="463">
        <f t="shared" si="22"/>
        <v>0</v>
      </c>
      <c r="AQ31" s="464">
        <f t="shared" si="22"/>
        <v>0</v>
      </c>
      <c r="AR31" s="464">
        <f t="shared" si="22"/>
        <v>0</v>
      </c>
      <c r="AS31" s="464">
        <f t="shared" si="22"/>
        <v>0</v>
      </c>
      <c r="AT31" s="464">
        <f t="shared" si="22"/>
        <v>0</v>
      </c>
      <c r="AU31" s="465">
        <f t="shared" si="22"/>
        <v>0</v>
      </c>
      <c r="AV31" s="463">
        <f t="shared" si="22"/>
        <v>0</v>
      </c>
      <c r="AW31" s="464">
        <f t="shared" si="22"/>
        <v>0</v>
      </c>
      <c r="AX31" s="464">
        <f t="shared" si="22"/>
        <v>0</v>
      </c>
      <c r="AY31" s="464">
        <f t="shared" si="22"/>
        <v>0</v>
      </c>
      <c r="AZ31" s="464">
        <f t="shared" si="22"/>
        <v>0</v>
      </c>
      <c r="BA31" s="465">
        <f t="shared" si="22"/>
        <v>0</v>
      </c>
      <c r="BB31" s="463">
        <f t="shared" si="22"/>
        <v>0</v>
      </c>
      <c r="BC31" s="464">
        <f t="shared" si="22"/>
        <v>0</v>
      </c>
      <c r="BD31" s="464">
        <f t="shared" si="22"/>
        <v>0</v>
      </c>
      <c r="BE31" s="464">
        <f t="shared" si="22"/>
        <v>0</v>
      </c>
      <c r="BF31" s="464">
        <f t="shared" si="22"/>
        <v>0</v>
      </c>
      <c r="BG31" s="465">
        <f t="shared" si="22"/>
        <v>0</v>
      </c>
      <c r="BH31" s="463">
        <f t="shared" si="22"/>
        <v>0</v>
      </c>
      <c r="BI31" s="464">
        <f t="shared" si="22"/>
        <v>0</v>
      </c>
      <c r="BJ31" s="464">
        <f t="shared" si="22"/>
        <v>0</v>
      </c>
      <c r="BK31" s="464">
        <f t="shared" si="22"/>
        <v>0</v>
      </c>
      <c r="BL31" s="464">
        <f t="shared" si="23"/>
        <v>0</v>
      </c>
      <c r="BM31" s="466">
        <f t="shared" si="23"/>
        <v>0</v>
      </c>
    </row>
    <row r="32" spans="3:65" s="467" customFormat="1" ht="16.5" customHeight="1">
      <c r="C32" s="454"/>
      <c r="D32" s="455"/>
      <c r="E32" s="456"/>
      <c r="F32" s="457" t="str">
        <f t="shared" si="18"/>
        <v>-</v>
      </c>
      <c r="G32" s="566" t="s">
        <v>1097</v>
      </c>
      <c r="H32" s="459" t="s">
        <v>196</v>
      </c>
      <c r="I32" s="460">
        <v>45</v>
      </c>
      <c r="J32" s="461">
        <v>100</v>
      </c>
      <c r="K32" s="462">
        <v>15</v>
      </c>
      <c r="L32" s="463">
        <f t="shared" si="20"/>
        <v>0</v>
      </c>
      <c r="M32" s="464">
        <f t="shared" si="20"/>
        <v>0</v>
      </c>
      <c r="N32" s="464">
        <f t="shared" si="20"/>
        <v>0</v>
      </c>
      <c r="O32" s="464">
        <f t="shared" si="20"/>
        <v>0</v>
      </c>
      <c r="P32" s="464">
        <f t="shared" si="20"/>
        <v>0</v>
      </c>
      <c r="Q32" s="465">
        <f t="shared" si="20"/>
        <v>0</v>
      </c>
      <c r="R32" s="463">
        <f t="shared" si="20"/>
        <v>0</v>
      </c>
      <c r="S32" s="464">
        <f t="shared" si="20"/>
        <v>0</v>
      </c>
      <c r="T32" s="464">
        <f t="shared" si="20"/>
        <v>0</v>
      </c>
      <c r="U32" s="464">
        <f t="shared" si="20"/>
        <v>0</v>
      </c>
      <c r="V32" s="464">
        <f t="shared" si="20"/>
        <v>0</v>
      </c>
      <c r="W32" s="465">
        <f t="shared" si="20"/>
        <v>0</v>
      </c>
      <c r="X32" s="463">
        <f t="shared" si="20"/>
        <v>15</v>
      </c>
      <c r="Y32" s="464">
        <f t="shared" si="20"/>
        <v>0</v>
      </c>
      <c r="Z32" s="464">
        <f t="shared" si="20"/>
        <v>0</v>
      </c>
      <c r="AA32" s="464">
        <f t="shared" si="20"/>
        <v>0</v>
      </c>
      <c r="AB32" s="464">
        <f t="shared" si="21"/>
        <v>0</v>
      </c>
      <c r="AC32" s="465">
        <f t="shared" si="21"/>
        <v>0</v>
      </c>
      <c r="AD32" s="463">
        <f t="shared" si="21"/>
        <v>0</v>
      </c>
      <c r="AE32" s="464">
        <f t="shared" si="21"/>
        <v>0</v>
      </c>
      <c r="AF32" s="464">
        <f t="shared" si="21"/>
        <v>0</v>
      </c>
      <c r="AG32" s="464">
        <f t="shared" si="21"/>
        <v>0</v>
      </c>
      <c r="AH32" s="464">
        <f t="shared" si="21"/>
        <v>0</v>
      </c>
      <c r="AI32" s="465">
        <f t="shared" si="21"/>
        <v>0</v>
      </c>
      <c r="AJ32" s="463">
        <f t="shared" si="22"/>
        <v>0</v>
      </c>
      <c r="AK32" s="464">
        <f t="shared" si="22"/>
        <v>0</v>
      </c>
      <c r="AL32" s="464">
        <f t="shared" si="22"/>
        <v>0</v>
      </c>
      <c r="AM32" s="464">
        <f t="shared" si="22"/>
        <v>0</v>
      </c>
      <c r="AN32" s="464">
        <f t="shared" si="22"/>
        <v>0</v>
      </c>
      <c r="AO32" s="465">
        <f t="shared" si="22"/>
        <v>0</v>
      </c>
      <c r="AP32" s="463">
        <f t="shared" si="22"/>
        <v>0</v>
      </c>
      <c r="AQ32" s="464">
        <f t="shared" si="22"/>
        <v>0</v>
      </c>
      <c r="AR32" s="464">
        <f t="shared" si="22"/>
        <v>0</v>
      </c>
      <c r="AS32" s="464">
        <f t="shared" si="22"/>
        <v>0</v>
      </c>
      <c r="AT32" s="464">
        <f t="shared" si="22"/>
        <v>0</v>
      </c>
      <c r="AU32" s="465">
        <f t="shared" si="22"/>
        <v>0</v>
      </c>
      <c r="AV32" s="463">
        <f t="shared" si="22"/>
        <v>0</v>
      </c>
      <c r="AW32" s="464">
        <f t="shared" si="22"/>
        <v>0</v>
      </c>
      <c r="AX32" s="464">
        <f t="shared" si="22"/>
        <v>0</v>
      </c>
      <c r="AY32" s="464">
        <f t="shared" si="22"/>
        <v>0</v>
      </c>
      <c r="AZ32" s="464">
        <f t="shared" si="22"/>
        <v>0</v>
      </c>
      <c r="BA32" s="465">
        <f t="shared" si="22"/>
        <v>0</v>
      </c>
      <c r="BB32" s="463">
        <f t="shared" si="22"/>
        <v>0</v>
      </c>
      <c r="BC32" s="464">
        <f t="shared" si="22"/>
        <v>0</v>
      </c>
      <c r="BD32" s="464">
        <f t="shared" si="22"/>
        <v>0</v>
      </c>
      <c r="BE32" s="464">
        <f t="shared" si="22"/>
        <v>0</v>
      </c>
      <c r="BF32" s="464">
        <f t="shared" si="22"/>
        <v>0</v>
      </c>
      <c r="BG32" s="465">
        <f t="shared" si="22"/>
        <v>0</v>
      </c>
      <c r="BH32" s="463">
        <f t="shared" si="22"/>
        <v>0</v>
      </c>
      <c r="BI32" s="464">
        <f t="shared" si="22"/>
        <v>0</v>
      </c>
      <c r="BJ32" s="464">
        <f t="shared" si="22"/>
        <v>0</v>
      </c>
      <c r="BK32" s="464">
        <f t="shared" si="22"/>
        <v>0</v>
      </c>
      <c r="BL32" s="464">
        <f t="shared" si="23"/>
        <v>0</v>
      </c>
      <c r="BM32" s="466">
        <f t="shared" si="23"/>
        <v>0</v>
      </c>
    </row>
    <row r="33" spans="3:65" s="467" customFormat="1" ht="16.5" customHeight="1">
      <c r="C33" s="454"/>
      <c r="D33" s="455"/>
      <c r="E33" s="456"/>
      <c r="F33" s="457" t="str">
        <f t="shared" si="18"/>
        <v>-</v>
      </c>
      <c r="G33" s="566" t="s">
        <v>1097</v>
      </c>
      <c r="H33" s="459" t="s">
        <v>196</v>
      </c>
      <c r="I33" s="460">
        <v>22.5</v>
      </c>
      <c r="J33" s="461">
        <v>100</v>
      </c>
      <c r="K33" s="462">
        <v>12</v>
      </c>
      <c r="L33" s="463">
        <f t="shared" si="20"/>
        <v>0</v>
      </c>
      <c r="M33" s="464">
        <f t="shared" si="20"/>
        <v>0</v>
      </c>
      <c r="N33" s="464">
        <f t="shared" si="20"/>
        <v>0</v>
      </c>
      <c r="O33" s="464">
        <f t="shared" si="20"/>
        <v>0</v>
      </c>
      <c r="P33" s="464">
        <f t="shared" si="20"/>
        <v>0</v>
      </c>
      <c r="Q33" s="465">
        <f t="shared" si="20"/>
        <v>0</v>
      </c>
      <c r="R33" s="463">
        <f t="shared" si="20"/>
        <v>12</v>
      </c>
      <c r="S33" s="464">
        <f t="shared" si="20"/>
        <v>0</v>
      </c>
      <c r="T33" s="464">
        <f t="shared" si="20"/>
        <v>0</v>
      </c>
      <c r="U33" s="464">
        <f t="shared" si="20"/>
        <v>0</v>
      </c>
      <c r="V33" s="464">
        <f t="shared" si="20"/>
        <v>0</v>
      </c>
      <c r="W33" s="465">
        <f t="shared" si="20"/>
        <v>0</v>
      </c>
      <c r="X33" s="463">
        <f t="shared" si="20"/>
        <v>0</v>
      </c>
      <c r="Y33" s="464">
        <f t="shared" si="20"/>
        <v>0</v>
      </c>
      <c r="Z33" s="464">
        <f t="shared" si="20"/>
        <v>0</v>
      </c>
      <c r="AA33" s="464">
        <f t="shared" si="20"/>
        <v>0</v>
      </c>
      <c r="AB33" s="464">
        <f t="shared" si="21"/>
        <v>0</v>
      </c>
      <c r="AC33" s="465">
        <f t="shared" si="21"/>
        <v>0</v>
      </c>
      <c r="AD33" s="463">
        <f t="shared" si="21"/>
        <v>0</v>
      </c>
      <c r="AE33" s="464">
        <f t="shared" si="21"/>
        <v>0</v>
      </c>
      <c r="AF33" s="464">
        <f t="shared" si="21"/>
        <v>0</v>
      </c>
      <c r="AG33" s="464">
        <f t="shared" si="21"/>
        <v>0</v>
      </c>
      <c r="AH33" s="464">
        <f t="shared" si="21"/>
        <v>0</v>
      </c>
      <c r="AI33" s="465">
        <f t="shared" si="21"/>
        <v>0</v>
      </c>
      <c r="AJ33" s="463">
        <f t="shared" si="22"/>
        <v>0</v>
      </c>
      <c r="AK33" s="464">
        <f t="shared" si="22"/>
        <v>0</v>
      </c>
      <c r="AL33" s="464">
        <f t="shared" si="22"/>
        <v>0</v>
      </c>
      <c r="AM33" s="464">
        <f t="shared" si="22"/>
        <v>0</v>
      </c>
      <c r="AN33" s="464">
        <f t="shared" si="22"/>
        <v>0</v>
      </c>
      <c r="AO33" s="465">
        <f t="shared" si="22"/>
        <v>0</v>
      </c>
      <c r="AP33" s="463">
        <f t="shared" si="22"/>
        <v>0</v>
      </c>
      <c r="AQ33" s="464">
        <f t="shared" si="22"/>
        <v>0</v>
      </c>
      <c r="AR33" s="464">
        <f t="shared" si="22"/>
        <v>0</v>
      </c>
      <c r="AS33" s="464">
        <f t="shared" si="22"/>
        <v>0</v>
      </c>
      <c r="AT33" s="464">
        <f t="shared" si="22"/>
        <v>0</v>
      </c>
      <c r="AU33" s="465">
        <f t="shared" si="22"/>
        <v>0</v>
      </c>
      <c r="AV33" s="463">
        <f t="shared" si="22"/>
        <v>0</v>
      </c>
      <c r="AW33" s="464">
        <f t="shared" si="22"/>
        <v>0</v>
      </c>
      <c r="AX33" s="464">
        <f t="shared" si="22"/>
        <v>0</v>
      </c>
      <c r="AY33" s="464">
        <f t="shared" si="22"/>
        <v>0</v>
      </c>
      <c r="AZ33" s="464">
        <f t="shared" si="22"/>
        <v>0</v>
      </c>
      <c r="BA33" s="465">
        <f t="shared" si="22"/>
        <v>0</v>
      </c>
      <c r="BB33" s="463">
        <f t="shared" si="22"/>
        <v>0</v>
      </c>
      <c r="BC33" s="464">
        <f t="shared" si="22"/>
        <v>0</v>
      </c>
      <c r="BD33" s="464">
        <f t="shared" si="22"/>
        <v>0</v>
      </c>
      <c r="BE33" s="464">
        <f t="shared" si="22"/>
        <v>0</v>
      </c>
      <c r="BF33" s="464">
        <f t="shared" si="22"/>
        <v>0</v>
      </c>
      <c r="BG33" s="465">
        <f t="shared" si="22"/>
        <v>0</v>
      </c>
      <c r="BH33" s="463">
        <f t="shared" si="22"/>
        <v>0</v>
      </c>
      <c r="BI33" s="464">
        <f t="shared" si="22"/>
        <v>0</v>
      </c>
      <c r="BJ33" s="464">
        <f t="shared" si="22"/>
        <v>0</v>
      </c>
      <c r="BK33" s="464">
        <f t="shared" si="22"/>
        <v>0</v>
      </c>
      <c r="BL33" s="464">
        <f t="shared" si="23"/>
        <v>0</v>
      </c>
      <c r="BM33" s="466">
        <f t="shared" si="23"/>
        <v>0</v>
      </c>
    </row>
    <row r="34" spans="3:65" s="467" customFormat="1" ht="16.5" customHeight="1">
      <c r="C34" s="454"/>
      <c r="D34" s="455"/>
      <c r="E34" s="456"/>
      <c r="F34" s="457" t="str">
        <f t="shared" si="18"/>
        <v>-</v>
      </c>
      <c r="G34" s="566" t="s">
        <v>1097</v>
      </c>
      <c r="H34" s="459" t="s">
        <v>196</v>
      </c>
      <c r="I34" s="460">
        <v>11.25</v>
      </c>
      <c r="J34" s="461">
        <v>100</v>
      </c>
      <c r="K34" s="462">
        <v>9</v>
      </c>
      <c r="L34" s="463">
        <f t="shared" si="20"/>
        <v>9</v>
      </c>
      <c r="M34" s="464">
        <f t="shared" si="20"/>
        <v>0</v>
      </c>
      <c r="N34" s="464">
        <f t="shared" si="20"/>
        <v>0</v>
      </c>
      <c r="O34" s="464">
        <f t="shared" si="20"/>
        <v>0</v>
      </c>
      <c r="P34" s="464">
        <f t="shared" si="20"/>
        <v>0</v>
      </c>
      <c r="Q34" s="465">
        <f t="shared" si="20"/>
        <v>0</v>
      </c>
      <c r="R34" s="463">
        <f t="shared" si="20"/>
        <v>0</v>
      </c>
      <c r="S34" s="464">
        <f t="shared" si="20"/>
        <v>0</v>
      </c>
      <c r="T34" s="464">
        <f t="shared" si="20"/>
        <v>0</v>
      </c>
      <c r="U34" s="464">
        <f t="shared" si="20"/>
        <v>0</v>
      </c>
      <c r="V34" s="464">
        <f t="shared" si="20"/>
        <v>0</v>
      </c>
      <c r="W34" s="465">
        <f t="shared" si="20"/>
        <v>0</v>
      </c>
      <c r="X34" s="463">
        <f t="shared" si="20"/>
        <v>0</v>
      </c>
      <c r="Y34" s="464">
        <f t="shared" si="20"/>
        <v>0</v>
      </c>
      <c r="Z34" s="464">
        <f t="shared" si="20"/>
        <v>0</v>
      </c>
      <c r="AA34" s="464">
        <f t="shared" si="20"/>
        <v>0</v>
      </c>
      <c r="AB34" s="464">
        <f t="shared" si="21"/>
        <v>0</v>
      </c>
      <c r="AC34" s="465">
        <f t="shared" si="21"/>
        <v>0</v>
      </c>
      <c r="AD34" s="463">
        <f t="shared" si="21"/>
        <v>0</v>
      </c>
      <c r="AE34" s="464">
        <f t="shared" si="21"/>
        <v>0</v>
      </c>
      <c r="AF34" s="464">
        <f t="shared" si="21"/>
        <v>0</v>
      </c>
      <c r="AG34" s="464">
        <f t="shared" si="21"/>
        <v>0</v>
      </c>
      <c r="AH34" s="464">
        <f t="shared" si="21"/>
        <v>0</v>
      </c>
      <c r="AI34" s="465">
        <f t="shared" si="21"/>
        <v>0</v>
      </c>
      <c r="AJ34" s="463">
        <f t="shared" si="22"/>
        <v>0</v>
      </c>
      <c r="AK34" s="464">
        <f t="shared" si="22"/>
        <v>0</v>
      </c>
      <c r="AL34" s="464">
        <f t="shared" si="22"/>
        <v>0</v>
      </c>
      <c r="AM34" s="464">
        <f t="shared" si="22"/>
        <v>0</v>
      </c>
      <c r="AN34" s="464">
        <f t="shared" si="22"/>
        <v>0</v>
      </c>
      <c r="AO34" s="465">
        <f t="shared" si="22"/>
        <v>0</v>
      </c>
      <c r="AP34" s="463">
        <f t="shared" si="22"/>
        <v>0</v>
      </c>
      <c r="AQ34" s="464">
        <f t="shared" si="22"/>
        <v>0</v>
      </c>
      <c r="AR34" s="464">
        <f t="shared" si="22"/>
        <v>0</v>
      </c>
      <c r="AS34" s="464">
        <f t="shared" si="22"/>
        <v>0</v>
      </c>
      <c r="AT34" s="464">
        <f t="shared" si="22"/>
        <v>0</v>
      </c>
      <c r="AU34" s="465">
        <f t="shared" si="22"/>
        <v>0</v>
      </c>
      <c r="AV34" s="463">
        <f t="shared" si="22"/>
        <v>0</v>
      </c>
      <c r="AW34" s="464">
        <f t="shared" si="22"/>
        <v>0</v>
      </c>
      <c r="AX34" s="464">
        <f t="shared" si="22"/>
        <v>0</v>
      </c>
      <c r="AY34" s="464">
        <f t="shared" si="22"/>
        <v>0</v>
      </c>
      <c r="AZ34" s="464">
        <f t="shared" si="22"/>
        <v>0</v>
      </c>
      <c r="BA34" s="465">
        <f t="shared" si="22"/>
        <v>0</v>
      </c>
      <c r="BB34" s="463">
        <f t="shared" si="22"/>
        <v>0</v>
      </c>
      <c r="BC34" s="464">
        <f t="shared" si="22"/>
        <v>0</v>
      </c>
      <c r="BD34" s="464">
        <f t="shared" si="22"/>
        <v>0</v>
      </c>
      <c r="BE34" s="464">
        <f t="shared" si="22"/>
        <v>0</v>
      </c>
      <c r="BF34" s="464">
        <f t="shared" si="22"/>
        <v>0</v>
      </c>
      <c r="BG34" s="465">
        <f t="shared" si="22"/>
        <v>0</v>
      </c>
      <c r="BH34" s="463">
        <f t="shared" si="22"/>
        <v>0</v>
      </c>
      <c r="BI34" s="464">
        <f t="shared" si="22"/>
        <v>0</v>
      </c>
      <c r="BJ34" s="464">
        <f t="shared" si="22"/>
        <v>0</v>
      </c>
      <c r="BK34" s="464">
        <f t="shared" si="22"/>
        <v>0</v>
      </c>
      <c r="BL34" s="464">
        <f t="shared" si="23"/>
        <v>0</v>
      </c>
      <c r="BM34" s="466">
        <f t="shared" si="23"/>
        <v>0</v>
      </c>
    </row>
    <row r="35" spans="3:65" s="467" customFormat="1" ht="16.5" customHeight="1" thickBot="1">
      <c r="C35" s="454"/>
      <c r="D35" s="455"/>
      <c r="E35" s="456"/>
      <c r="F35" s="457" t="str">
        <f t="shared" si="18"/>
        <v>-</v>
      </c>
      <c r="G35" s="566" t="s">
        <v>1096</v>
      </c>
      <c r="H35" s="459" t="s">
        <v>196</v>
      </c>
      <c r="I35" s="460">
        <v>100</v>
      </c>
      <c r="J35" s="461">
        <v>100</v>
      </c>
      <c r="K35" s="462">
        <v>1</v>
      </c>
      <c r="L35" s="463">
        <f t="shared" si="20"/>
        <v>0</v>
      </c>
      <c r="M35" s="464">
        <f t="shared" si="20"/>
        <v>0</v>
      </c>
      <c r="N35" s="464">
        <f t="shared" si="20"/>
        <v>0</v>
      </c>
      <c r="O35" s="464">
        <f t="shared" si="20"/>
        <v>0</v>
      </c>
      <c r="P35" s="464">
        <f t="shared" si="20"/>
        <v>0</v>
      </c>
      <c r="Q35" s="465">
        <f t="shared" si="20"/>
        <v>0</v>
      </c>
      <c r="R35" s="463">
        <f t="shared" si="20"/>
        <v>0</v>
      </c>
      <c r="S35" s="464">
        <f t="shared" si="20"/>
        <v>0</v>
      </c>
      <c r="T35" s="464">
        <f t="shared" si="20"/>
        <v>0</v>
      </c>
      <c r="U35" s="464">
        <f t="shared" si="20"/>
        <v>0</v>
      </c>
      <c r="V35" s="464">
        <f t="shared" si="20"/>
        <v>0</v>
      </c>
      <c r="W35" s="465">
        <f t="shared" si="20"/>
        <v>0</v>
      </c>
      <c r="X35" s="463">
        <f t="shared" si="20"/>
        <v>0</v>
      </c>
      <c r="Y35" s="464">
        <f t="shared" si="20"/>
        <v>0</v>
      </c>
      <c r="Z35" s="464">
        <f t="shared" si="20"/>
        <v>0</v>
      </c>
      <c r="AA35" s="464">
        <f t="shared" si="20"/>
        <v>0</v>
      </c>
      <c r="AB35" s="464">
        <f t="shared" si="21"/>
        <v>0</v>
      </c>
      <c r="AC35" s="465">
        <f t="shared" si="21"/>
        <v>0</v>
      </c>
      <c r="AD35" s="463">
        <f t="shared" si="21"/>
        <v>0</v>
      </c>
      <c r="AE35" s="464">
        <f t="shared" si="21"/>
        <v>0</v>
      </c>
      <c r="AF35" s="464">
        <f t="shared" si="21"/>
        <v>0</v>
      </c>
      <c r="AG35" s="464">
        <f t="shared" si="21"/>
        <v>0</v>
      </c>
      <c r="AH35" s="464">
        <f t="shared" si="21"/>
        <v>0</v>
      </c>
      <c r="AI35" s="465">
        <f t="shared" si="21"/>
        <v>0</v>
      </c>
      <c r="AJ35" s="463">
        <f t="shared" si="22"/>
        <v>0</v>
      </c>
      <c r="AK35" s="464">
        <f t="shared" si="22"/>
        <v>0</v>
      </c>
      <c r="AL35" s="464">
        <v>1</v>
      </c>
      <c r="AM35" s="464">
        <f t="shared" si="22"/>
        <v>0</v>
      </c>
      <c r="AN35" s="464">
        <f t="shared" si="22"/>
        <v>0</v>
      </c>
      <c r="AO35" s="465"/>
      <c r="AP35" s="463">
        <f t="shared" si="22"/>
        <v>0</v>
      </c>
      <c r="AQ35" s="464">
        <f t="shared" si="22"/>
        <v>0</v>
      </c>
      <c r="AR35" s="464">
        <f t="shared" si="22"/>
        <v>0</v>
      </c>
      <c r="AS35" s="464">
        <f t="shared" si="22"/>
        <v>0</v>
      </c>
      <c r="AT35" s="464">
        <f t="shared" si="22"/>
        <v>0</v>
      </c>
      <c r="AU35" s="465">
        <f t="shared" si="22"/>
        <v>0</v>
      </c>
      <c r="AV35" s="463">
        <f t="shared" si="22"/>
        <v>0</v>
      </c>
      <c r="AW35" s="464">
        <f t="shared" si="22"/>
        <v>0</v>
      </c>
      <c r="AX35" s="464">
        <f t="shared" si="22"/>
        <v>0</v>
      </c>
      <c r="AY35" s="464">
        <f t="shared" si="22"/>
        <v>0</v>
      </c>
      <c r="AZ35" s="464">
        <f t="shared" si="22"/>
        <v>0</v>
      </c>
      <c r="BA35" s="465">
        <f t="shared" si="22"/>
        <v>0</v>
      </c>
      <c r="BB35" s="463"/>
      <c r="BC35" s="464"/>
      <c r="BD35" s="464"/>
      <c r="BE35" s="464"/>
      <c r="BF35" s="464"/>
      <c r="BG35" s="465"/>
      <c r="BH35" s="463"/>
      <c r="BI35" s="464">
        <f t="shared" si="22"/>
        <v>0</v>
      </c>
      <c r="BJ35" s="464">
        <f t="shared" si="22"/>
        <v>0</v>
      </c>
      <c r="BK35" s="464">
        <f t="shared" si="22"/>
        <v>0</v>
      </c>
      <c r="BL35" s="464">
        <f t="shared" si="23"/>
        <v>0</v>
      </c>
      <c r="BM35" s="466">
        <f t="shared" si="23"/>
        <v>0</v>
      </c>
    </row>
    <row r="36" spans="3:65" s="467" customFormat="1" ht="16.5" hidden="1" customHeight="1">
      <c r="C36" s="435" t="s">
        <v>1219</v>
      </c>
      <c r="D36" s="436"/>
      <c r="E36" s="437"/>
      <c r="F36" s="438" t="str">
        <f>+CONCATENATE(D36,"-",E36)</f>
        <v>-</v>
      </c>
      <c r="G36" s="565"/>
      <c r="H36" s="440"/>
      <c r="I36" s="441"/>
      <c r="J36" s="442"/>
      <c r="K36" s="443">
        <f>+IF(I36&gt;1,1,0)</f>
        <v>0</v>
      </c>
      <c r="L36" s="444">
        <f t="shared" ref="L36:AA39" si="24">+IF($G36="CODO",IF($I36=L$10,IF($J36=L$11,$K36,0),0),0)</f>
        <v>0</v>
      </c>
      <c r="M36" s="445">
        <f t="shared" si="24"/>
        <v>0</v>
      </c>
      <c r="N36" s="445">
        <f t="shared" si="24"/>
        <v>0</v>
      </c>
      <c r="O36" s="445">
        <f t="shared" si="24"/>
        <v>0</v>
      </c>
      <c r="P36" s="445">
        <f t="shared" si="24"/>
        <v>0</v>
      </c>
      <c r="Q36" s="446">
        <f t="shared" si="24"/>
        <v>0</v>
      </c>
      <c r="R36" s="444">
        <f t="shared" si="24"/>
        <v>0</v>
      </c>
      <c r="S36" s="445">
        <f t="shared" si="24"/>
        <v>0</v>
      </c>
      <c r="T36" s="445">
        <f t="shared" si="24"/>
        <v>0</v>
      </c>
      <c r="U36" s="445">
        <f t="shared" si="24"/>
        <v>0</v>
      </c>
      <c r="V36" s="445">
        <f t="shared" si="24"/>
        <v>0</v>
      </c>
      <c r="W36" s="446">
        <f t="shared" si="24"/>
        <v>0</v>
      </c>
      <c r="X36" s="444">
        <f t="shared" si="24"/>
        <v>0</v>
      </c>
      <c r="Y36" s="445">
        <f t="shared" si="24"/>
        <v>0</v>
      </c>
      <c r="Z36" s="445">
        <f t="shared" si="24"/>
        <v>0</v>
      </c>
      <c r="AA36" s="445">
        <f t="shared" si="24"/>
        <v>0</v>
      </c>
      <c r="AB36" s="445">
        <f t="shared" ref="AB36:AC51" si="25">+IF($G36="CODO",IF($I36=AB$10,IF($J36=AB$11,$K36,0),0),0)</f>
        <v>0</v>
      </c>
      <c r="AC36" s="446">
        <f t="shared" si="25"/>
        <v>0</v>
      </c>
      <c r="AD36" s="444">
        <f t="shared" ref="AD36:AI51" si="26">+IF($G36="CODO",IF($I36=AD$10,IF($J36=AD$11,$K36,0),0),0)</f>
        <v>0</v>
      </c>
      <c r="AE36" s="445">
        <f t="shared" si="26"/>
        <v>0</v>
      </c>
      <c r="AF36" s="445">
        <f t="shared" si="26"/>
        <v>0</v>
      </c>
      <c r="AG36" s="445">
        <f t="shared" si="26"/>
        <v>0</v>
      </c>
      <c r="AH36" s="445">
        <f t="shared" si="26"/>
        <v>0</v>
      </c>
      <c r="AI36" s="446">
        <f t="shared" si="26"/>
        <v>0</v>
      </c>
      <c r="AJ36" s="444">
        <f t="shared" ref="AJ36:BK51" si="27">+IF($G36=AJ$10,IF($I36=AJ$11,$K36,0),0)</f>
        <v>0</v>
      </c>
      <c r="AK36" s="445">
        <f t="shared" si="27"/>
        <v>0</v>
      </c>
      <c r="AL36" s="445">
        <f t="shared" si="27"/>
        <v>0</v>
      </c>
      <c r="AM36" s="445">
        <f t="shared" si="27"/>
        <v>0</v>
      </c>
      <c r="AN36" s="445">
        <f t="shared" si="27"/>
        <v>0</v>
      </c>
      <c r="AO36" s="446">
        <f t="shared" si="27"/>
        <v>0</v>
      </c>
      <c r="AP36" s="444">
        <f t="shared" si="27"/>
        <v>0</v>
      </c>
      <c r="AQ36" s="445">
        <f t="shared" si="27"/>
        <v>0</v>
      </c>
      <c r="AR36" s="445">
        <f t="shared" si="27"/>
        <v>0</v>
      </c>
      <c r="AS36" s="445">
        <f t="shared" si="27"/>
        <v>0</v>
      </c>
      <c r="AT36" s="445">
        <f t="shared" si="27"/>
        <v>0</v>
      </c>
      <c r="AU36" s="446">
        <f t="shared" si="27"/>
        <v>0</v>
      </c>
      <c r="AV36" s="444">
        <f t="shared" si="27"/>
        <v>0</v>
      </c>
      <c r="AW36" s="445">
        <f t="shared" si="27"/>
        <v>0</v>
      </c>
      <c r="AX36" s="445">
        <f t="shared" si="27"/>
        <v>0</v>
      </c>
      <c r="AY36" s="445">
        <f t="shared" si="27"/>
        <v>0</v>
      </c>
      <c r="AZ36" s="445">
        <f t="shared" si="27"/>
        <v>0</v>
      </c>
      <c r="BA36" s="446">
        <f t="shared" si="27"/>
        <v>0</v>
      </c>
      <c r="BB36" s="444">
        <f t="shared" si="27"/>
        <v>0</v>
      </c>
      <c r="BC36" s="445">
        <f t="shared" si="27"/>
        <v>0</v>
      </c>
      <c r="BD36" s="445">
        <f t="shared" si="27"/>
        <v>0</v>
      </c>
      <c r="BE36" s="445">
        <f t="shared" si="27"/>
        <v>0</v>
      </c>
      <c r="BF36" s="445">
        <f t="shared" si="27"/>
        <v>0</v>
      </c>
      <c r="BG36" s="446">
        <f t="shared" si="27"/>
        <v>0</v>
      </c>
      <c r="BH36" s="444">
        <f t="shared" si="27"/>
        <v>0</v>
      </c>
      <c r="BI36" s="445">
        <f t="shared" si="27"/>
        <v>0</v>
      </c>
      <c r="BJ36" s="445">
        <f t="shared" si="27"/>
        <v>0</v>
      </c>
      <c r="BK36" s="445">
        <f t="shared" si="27"/>
        <v>0</v>
      </c>
      <c r="BL36" s="445">
        <f t="shared" ref="BL36:BM38" si="28">+IF($G36=BL$10,IF($I36=BL$11,$K36,0),0)</f>
        <v>0</v>
      </c>
      <c r="BM36" s="468">
        <f t="shared" si="28"/>
        <v>0</v>
      </c>
    </row>
    <row r="37" spans="3:65" s="467" customFormat="1" ht="16.5" hidden="1" customHeight="1">
      <c r="C37" s="454"/>
      <c r="D37" s="455"/>
      <c r="E37" s="456"/>
      <c r="F37" s="457" t="str">
        <f t="shared" si="18"/>
        <v>-</v>
      </c>
      <c r="G37" s="566" t="s">
        <v>1097</v>
      </c>
      <c r="H37" s="459" t="s">
        <v>196</v>
      </c>
      <c r="I37" s="460">
        <v>45</v>
      </c>
      <c r="J37" s="461">
        <v>100</v>
      </c>
      <c r="K37" s="462">
        <v>2</v>
      </c>
      <c r="L37" s="463">
        <f t="shared" si="24"/>
        <v>0</v>
      </c>
      <c r="M37" s="464">
        <f t="shared" si="24"/>
        <v>0</v>
      </c>
      <c r="N37" s="464">
        <f t="shared" si="24"/>
        <v>0</v>
      </c>
      <c r="O37" s="464">
        <f t="shared" si="24"/>
        <v>0</v>
      </c>
      <c r="P37" s="464">
        <f t="shared" si="24"/>
        <v>0</v>
      </c>
      <c r="Q37" s="465">
        <f t="shared" si="24"/>
        <v>0</v>
      </c>
      <c r="R37" s="463">
        <f t="shared" si="24"/>
        <v>0</v>
      </c>
      <c r="S37" s="464">
        <f t="shared" si="24"/>
        <v>0</v>
      </c>
      <c r="T37" s="464">
        <f t="shared" si="24"/>
        <v>0</v>
      </c>
      <c r="U37" s="464">
        <f t="shared" si="24"/>
        <v>0</v>
      </c>
      <c r="V37" s="464">
        <f t="shared" si="24"/>
        <v>0</v>
      </c>
      <c r="W37" s="465">
        <f t="shared" si="24"/>
        <v>0</v>
      </c>
      <c r="X37" s="463">
        <f t="shared" si="24"/>
        <v>2</v>
      </c>
      <c r="Y37" s="464">
        <f t="shared" si="24"/>
        <v>0</v>
      </c>
      <c r="Z37" s="464">
        <f t="shared" si="24"/>
        <v>0</v>
      </c>
      <c r="AA37" s="464">
        <f t="shared" si="24"/>
        <v>0</v>
      </c>
      <c r="AB37" s="464">
        <f t="shared" si="25"/>
        <v>0</v>
      </c>
      <c r="AC37" s="465">
        <f t="shared" si="25"/>
        <v>0</v>
      </c>
      <c r="AD37" s="463">
        <f t="shared" si="26"/>
        <v>0</v>
      </c>
      <c r="AE37" s="464">
        <f t="shared" si="26"/>
        <v>0</v>
      </c>
      <c r="AF37" s="464">
        <f t="shared" si="26"/>
        <v>0</v>
      </c>
      <c r="AG37" s="464">
        <f t="shared" si="26"/>
        <v>0</v>
      </c>
      <c r="AH37" s="464">
        <f t="shared" si="26"/>
        <v>0</v>
      </c>
      <c r="AI37" s="465">
        <f t="shared" si="26"/>
        <v>0</v>
      </c>
      <c r="AJ37" s="463">
        <f t="shared" si="27"/>
        <v>0</v>
      </c>
      <c r="AK37" s="464">
        <f t="shared" si="27"/>
        <v>0</v>
      </c>
      <c r="AL37" s="464">
        <f t="shared" si="27"/>
        <v>0</v>
      </c>
      <c r="AM37" s="464">
        <f t="shared" si="27"/>
        <v>0</v>
      </c>
      <c r="AN37" s="464">
        <f t="shared" si="27"/>
        <v>0</v>
      </c>
      <c r="AO37" s="465">
        <f t="shared" si="27"/>
        <v>0</v>
      </c>
      <c r="AP37" s="463">
        <f t="shared" si="27"/>
        <v>0</v>
      </c>
      <c r="AQ37" s="464">
        <f t="shared" si="27"/>
        <v>0</v>
      </c>
      <c r="AR37" s="464">
        <f t="shared" si="27"/>
        <v>0</v>
      </c>
      <c r="AS37" s="464">
        <f t="shared" si="27"/>
        <v>0</v>
      </c>
      <c r="AT37" s="464">
        <f t="shared" si="27"/>
        <v>0</v>
      </c>
      <c r="AU37" s="465">
        <f t="shared" si="27"/>
        <v>0</v>
      </c>
      <c r="AV37" s="463">
        <f t="shared" si="27"/>
        <v>0</v>
      </c>
      <c r="AW37" s="464">
        <f t="shared" si="27"/>
        <v>0</v>
      </c>
      <c r="AX37" s="464">
        <f t="shared" si="27"/>
        <v>0</v>
      </c>
      <c r="AY37" s="464">
        <f t="shared" si="27"/>
        <v>0</v>
      </c>
      <c r="AZ37" s="464">
        <f t="shared" si="27"/>
        <v>0</v>
      </c>
      <c r="BA37" s="465">
        <f t="shared" si="27"/>
        <v>0</v>
      </c>
      <c r="BB37" s="463">
        <f t="shared" si="27"/>
        <v>0</v>
      </c>
      <c r="BC37" s="464">
        <f t="shared" si="27"/>
        <v>0</v>
      </c>
      <c r="BD37" s="464">
        <f t="shared" si="27"/>
        <v>0</v>
      </c>
      <c r="BE37" s="464">
        <f t="shared" si="27"/>
        <v>0</v>
      </c>
      <c r="BF37" s="464">
        <f t="shared" si="27"/>
        <v>0</v>
      </c>
      <c r="BG37" s="465">
        <f t="shared" si="27"/>
        <v>0</v>
      </c>
      <c r="BH37" s="463">
        <f t="shared" si="27"/>
        <v>0</v>
      </c>
      <c r="BI37" s="464">
        <f t="shared" si="27"/>
        <v>0</v>
      </c>
      <c r="BJ37" s="464">
        <f t="shared" si="27"/>
        <v>0</v>
      </c>
      <c r="BK37" s="464">
        <f t="shared" si="27"/>
        <v>0</v>
      </c>
      <c r="BL37" s="464">
        <f t="shared" si="28"/>
        <v>0</v>
      </c>
      <c r="BM37" s="466">
        <f t="shared" si="28"/>
        <v>0</v>
      </c>
    </row>
    <row r="38" spans="3:65" s="467" customFormat="1" ht="16.5" hidden="1" customHeight="1">
      <c r="C38" s="454"/>
      <c r="D38" s="455"/>
      <c r="E38" s="456"/>
      <c r="F38" s="457" t="str">
        <f t="shared" si="18"/>
        <v>-</v>
      </c>
      <c r="G38" s="566" t="s">
        <v>1097</v>
      </c>
      <c r="H38" s="459" t="s">
        <v>196</v>
      </c>
      <c r="I38" s="460">
        <v>90</v>
      </c>
      <c r="J38" s="461">
        <v>150</v>
      </c>
      <c r="K38" s="462">
        <v>1</v>
      </c>
      <c r="L38" s="463">
        <f t="shared" si="24"/>
        <v>0</v>
      </c>
      <c r="M38" s="464">
        <f t="shared" si="24"/>
        <v>0</v>
      </c>
      <c r="N38" s="464">
        <f t="shared" si="24"/>
        <v>0</v>
      </c>
      <c r="O38" s="464">
        <f t="shared" si="24"/>
        <v>0</v>
      </c>
      <c r="P38" s="464">
        <f t="shared" si="24"/>
        <v>0</v>
      </c>
      <c r="Q38" s="465">
        <f t="shared" si="24"/>
        <v>0</v>
      </c>
      <c r="R38" s="463">
        <f t="shared" si="24"/>
        <v>0</v>
      </c>
      <c r="S38" s="464">
        <f t="shared" si="24"/>
        <v>0</v>
      </c>
      <c r="T38" s="464">
        <f t="shared" si="24"/>
        <v>0</v>
      </c>
      <c r="U38" s="464">
        <f t="shared" si="24"/>
        <v>0</v>
      </c>
      <c r="V38" s="464">
        <f t="shared" si="24"/>
        <v>0</v>
      </c>
      <c r="W38" s="465">
        <f t="shared" si="24"/>
        <v>0</v>
      </c>
      <c r="X38" s="463">
        <f t="shared" si="24"/>
        <v>0</v>
      </c>
      <c r="Y38" s="464">
        <f t="shared" si="24"/>
        <v>0</v>
      </c>
      <c r="Z38" s="464">
        <f t="shared" si="24"/>
        <v>0</v>
      </c>
      <c r="AA38" s="464">
        <f t="shared" si="24"/>
        <v>0</v>
      </c>
      <c r="AB38" s="464">
        <f t="shared" si="25"/>
        <v>0</v>
      </c>
      <c r="AC38" s="465">
        <f t="shared" si="25"/>
        <v>0</v>
      </c>
      <c r="AD38" s="463">
        <f t="shared" si="26"/>
        <v>0</v>
      </c>
      <c r="AE38" s="464">
        <f t="shared" si="26"/>
        <v>1</v>
      </c>
      <c r="AF38" s="464">
        <f t="shared" si="26"/>
        <v>0</v>
      </c>
      <c r="AG38" s="464">
        <f t="shared" si="26"/>
        <v>0</v>
      </c>
      <c r="AH38" s="464">
        <f t="shared" si="26"/>
        <v>0</v>
      </c>
      <c r="AI38" s="465">
        <f t="shared" si="26"/>
        <v>0</v>
      </c>
      <c r="AJ38" s="463">
        <f t="shared" si="27"/>
        <v>0</v>
      </c>
      <c r="AK38" s="464">
        <f t="shared" si="27"/>
        <v>0</v>
      </c>
      <c r="AL38" s="464">
        <f t="shared" si="27"/>
        <v>0</v>
      </c>
      <c r="AM38" s="464">
        <f t="shared" si="27"/>
        <v>0</v>
      </c>
      <c r="AN38" s="464">
        <f t="shared" si="27"/>
        <v>0</v>
      </c>
      <c r="AO38" s="465">
        <f t="shared" si="27"/>
        <v>0</v>
      </c>
      <c r="AP38" s="463">
        <f t="shared" si="27"/>
        <v>0</v>
      </c>
      <c r="AQ38" s="464">
        <f t="shared" si="27"/>
        <v>0</v>
      </c>
      <c r="AR38" s="464">
        <f t="shared" si="27"/>
        <v>0</v>
      </c>
      <c r="AS38" s="464">
        <f t="shared" si="27"/>
        <v>0</v>
      </c>
      <c r="AT38" s="464">
        <f t="shared" si="27"/>
        <v>0</v>
      </c>
      <c r="AU38" s="465">
        <f t="shared" si="27"/>
        <v>0</v>
      </c>
      <c r="AV38" s="463">
        <f t="shared" si="27"/>
        <v>0</v>
      </c>
      <c r="AW38" s="464">
        <f t="shared" si="27"/>
        <v>0</v>
      </c>
      <c r="AX38" s="464">
        <f t="shared" si="27"/>
        <v>0</v>
      </c>
      <c r="AY38" s="464">
        <f t="shared" si="27"/>
        <v>0</v>
      </c>
      <c r="AZ38" s="464">
        <f t="shared" si="27"/>
        <v>0</v>
      </c>
      <c r="BA38" s="465">
        <f t="shared" si="27"/>
        <v>0</v>
      </c>
      <c r="BB38" s="463">
        <f t="shared" si="27"/>
        <v>0</v>
      </c>
      <c r="BC38" s="464">
        <f t="shared" si="27"/>
        <v>0</v>
      </c>
      <c r="BD38" s="464">
        <f t="shared" si="27"/>
        <v>0</v>
      </c>
      <c r="BE38" s="464">
        <f t="shared" si="27"/>
        <v>0</v>
      </c>
      <c r="BF38" s="464">
        <f t="shared" si="27"/>
        <v>0</v>
      </c>
      <c r="BG38" s="465">
        <f t="shared" si="27"/>
        <v>0</v>
      </c>
      <c r="BH38" s="463">
        <f t="shared" si="27"/>
        <v>0</v>
      </c>
      <c r="BI38" s="464">
        <f t="shared" si="27"/>
        <v>0</v>
      </c>
      <c r="BJ38" s="464">
        <f t="shared" si="27"/>
        <v>0</v>
      </c>
      <c r="BK38" s="464">
        <f t="shared" si="27"/>
        <v>0</v>
      </c>
      <c r="BL38" s="464">
        <f t="shared" si="28"/>
        <v>0</v>
      </c>
      <c r="BM38" s="466">
        <f t="shared" si="28"/>
        <v>0</v>
      </c>
    </row>
    <row r="39" spans="3:65" s="467" customFormat="1" ht="16.5" hidden="1" customHeight="1">
      <c r="C39" s="454"/>
      <c r="D39" s="455"/>
      <c r="E39" s="456"/>
      <c r="F39" s="457" t="str">
        <f t="shared" si="18"/>
        <v>-</v>
      </c>
      <c r="G39" s="566" t="s">
        <v>1097</v>
      </c>
      <c r="H39" s="459" t="s">
        <v>196</v>
      </c>
      <c r="I39" s="460">
        <v>45</v>
      </c>
      <c r="J39" s="461">
        <v>200</v>
      </c>
      <c r="K39" s="462">
        <v>3</v>
      </c>
      <c r="L39" s="463">
        <f t="shared" si="24"/>
        <v>0</v>
      </c>
      <c r="M39" s="464">
        <f t="shared" ref="M39:AB53" si="29">+IF($G39="CODO",IF($I39=M$10,IF($J39=M$11,$K39,0),0),0)</f>
        <v>0</v>
      </c>
      <c r="N39" s="464">
        <f t="shared" si="29"/>
        <v>0</v>
      </c>
      <c r="O39" s="464">
        <f t="shared" si="29"/>
        <v>0</v>
      </c>
      <c r="P39" s="464">
        <f t="shared" si="29"/>
        <v>0</v>
      </c>
      <c r="Q39" s="465">
        <f t="shared" si="29"/>
        <v>0</v>
      </c>
      <c r="R39" s="463">
        <f t="shared" si="29"/>
        <v>0</v>
      </c>
      <c r="S39" s="464">
        <f t="shared" si="29"/>
        <v>0</v>
      </c>
      <c r="T39" s="464">
        <f t="shared" si="29"/>
        <v>0</v>
      </c>
      <c r="U39" s="464">
        <f t="shared" si="29"/>
        <v>0</v>
      </c>
      <c r="V39" s="464">
        <f t="shared" si="29"/>
        <v>0</v>
      </c>
      <c r="W39" s="465">
        <f t="shared" si="29"/>
        <v>0</v>
      </c>
      <c r="X39" s="463">
        <f t="shared" si="29"/>
        <v>0</v>
      </c>
      <c r="Y39" s="464">
        <f t="shared" si="29"/>
        <v>0</v>
      </c>
      <c r="Z39" s="464">
        <f t="shared" si="29"/>
        <v>3</v>
      </c>
      <c r="AA39" s="464">
        <f t="shared" si="29"/>
        <v>0</v>
      </c>
      <c r="AB39" s="464">
        <f t="shared" si="29"/>
        <v>0</v>
      </c>
      <c r="AC39" s="465">
        <f t="shared" si="25"/>
        <v>0</v>
      </c>
      <c r="AD39" s="463">
        <f t="shared" si="26"/>
        <v>0</v>
      </c>
      <c r="AE39" s="464">
        <f t="shared" si="26"/>
        <v>0</v>
      </c>
      <c r="AF39" s="464">
        <f t="shared" si="26"/>
        <v>0</v>
      </c>
      <c r="AG39" s="464">
        <f t="shared" si="26"/>
        <v>0</v>
      </c>
      <c r="AH39" s="464">
        <f t="shared" si="26"/>
        <v>0</v>
      </c>
      <c r="AI39" s="465">
        <f t="shared" si="26"/>
        <v>0</v>
      </c>
      <c r="AJ39" s="463">
        <f t="shared" si="27"/>
        <v>0</v>
      </c>
      <c r="AK39" s="464">
        <f t="shared" si="27"/>
        <v>0</v>
      </c>
      <c r="AL39" s="464">
        <f t="shared" si="27"/>
        <v>0</v>
      </c>
      <c r="AM39" s="464">
        <f t="shared" si="27"/>
        <v>0</v>
      </c>
      <c r="AN39" s="464">
        <f t="shared" si="27"/>
        <v>0</v>
      </c>
      <c r="AO39" s="465">
        <f t="shared" si="27"/>
        <v>0</v>
      </c>
      <c r="AP39" s="463">
        <f t="shared" si="27"/>
        <v>0</v>
      </c>
      <c r="AQ39" s="464">
        <f t="shared" si="27"/>
        <v>0</v>
      </c>
      <c r="AR39" s="464">
        <f t="shared" si="27"/>
        <v>0</v>
      </c>
      <c r="AS39" s="464">
        <f t="shared" si="27"/>
        <v>0</v>
      </c>
      <c r="AT39" s="464">
        <f t="shared" si="27"/>
        <v>0</v>
      </c>
      <c r="AU39" s="465">
        <f t="shared" si="27"/>
        <v>0</v>
      </c>
      <c r="AV39" s="463">
        <f t="shared" si="27"/>
        <v>0</v>
      </c>
      <c r="AW39" s="464">
        <f t="shared" si="27"/>
        <v>0</v>
      </c>
      <c r="AX39" s="464">
        <f t="shared" si="27"/>
        <v>0</v>
      </c>
      <c r="AY39" s="464">
        <f t="shared" si="27"/>
        <v>0</v>
      </c>
      <c r="AZ39" s="464">
        <f t="shared" si="27"/>
        <v>0</v>
      </c>
      <c r="BA39" s="465">
        <f t="shared" si="27"/>
        <v>0</v>
      </c>
      <c r="BB39" s="463">
        <f t="shared" si="27"/>
        <v>0</v>
      </c>
      <c r="BC39" s="464">
        <f t="shared" si="27"/>
        <v>0</v>
      </c>
      <c r="BD39" s="464">
        <f t="shared" si="27"/>
        <v>0</v>
      </c>
      <c r="BE39" s="464">
        <f t="shared" si="27"/>
        <v>0</v>
      </c>
      <c r="BF39" s="464">
        <f t="shared" si="27"/>
        <v>0</v>
      </c>
      <c r="BG39" s="465">
        <f t="shared" si="27"/>
        <v>0</v>
      </c>
      <c r="BH39" s="463">
        <f t="shared" si="27"/>
        <v>0</v>
      </c>
      <c r="BI39" s="464">
        <f t="shared" si="27"/>
        <v>0</v>
      </c>
      <c r="BJ39" s="464">
        <f t="shared" si="27"/>
        <v>0</v>
      </c>
      <c r="BK39" s="464">
        <f t="shared" si="27"/>
        <v>0</v>
      </c>
      <c r="BL39" s="464">
        <f t="shared" ref="BL39:BM53" si="30">+IF($G39=BL$10,IF($I39=BL$11,$K39,0),0)</f>
        <v>0</v>
      </c>
      <c r="BM39" s="466">
        <f t="shared" si="30"/>
        <v>0</v>
      </c>
    </row>
    <row r="40" spans="3:65" s="467" customFormat="1" ht="16.5" hidden="1" customHeight="1">
      <c r="C40" s="454"/>
      <c r="D40" s="455"/>
      <c r="E40" s="456"/>
      <c r="F40" s="457" t="str">
        <f t="shared" si="18"/>
        <v>-</v>
      </c>
      <c r="G40" s="566" t="s">
        <v>1097</v>
      </c>
      <c r="H40" s="459" t="s">
        <v>196</v>
      </c>
      <c r="I40" s="460">
        <v>22.5</v>
      </c>
      <c r="J40" s="461">
        <v>200</v>
      </c>
      <c r="K40" s="462">
        <v>2</v>
      </c>
      <c r="L40" s="463">
        <f t="shared" ref="L40:U50" si="31">+IF($G40="CODO",IF($I40=L$10,IF($J40=L$11,$K40,0),0),0)</f>
        <v>0</v>
      </c>
      <c r="M40" s="464">
        <f t="shared" si="31"/>
        <v>0</v>
      </c>
      <c r="N40" s="464">
        <f t="shared" si="31"/>
        <v>0</v>
      </c>
      <c r="O40" s="464">
        <f t="shared" si="31"/>
        <v>0</v>
      </c>
      <c r="P40" s="464">
        <f t="shared" si="31"/>
        <v>0</v>
      </c>
      <c r="Q40" s="465">
        <f t="shared" si="31"/>
        <v>0</v>
      </c>
      <c r="R40" s="463">
        <f t="shared" si="31"/>
        <v>0</v>
      </c>
      <c r="S40" s="464">
        <f t="shared" si="31"/>
        <v>0</v>
      </c>
      <c r="T40" s="464">
        <f t="shared" si="31"/>
        <v>2</v>
      </c>
      <c r="U40" s="464">
        <f t="shared" si="31"/>
        <v>0</v>
      </c>
      <c r="V40" s="464">
        <f t="shared" si="29"/>
        <v>0</v>
      </c>
      <c r="W40" s="465">
        <f t="shared" si="29"/>
        <v>0</v>
      </c>
      <c r="X40" s="463">
        <f t="shared" si="29"/>
        <v>0</v>
      </c>
      <c r="Y40" s="464">
        <f t="shared" si="29"/>
        <v>0</v>
      </c>
      <c r="Z40" s="464">
        <f t="shared" si="29"/>
        <v>0</v>
      </c>
      <c r="AA40" s="464">
        <f t="shared" si="29"/>
        <v>0</v>
      </c>
      <c r="AB40" s="464">
        <f t="shared" si="29"/>
        <v>0</v>
      </c>
      <c r="AC40" s="465">
        <f t="shared" si="25"/>
        <v>0</v>
      </c>
      <c r="AD40" s="463">
        <f t="shared" si="26"/>
        <v>0</v>
      </c>
      <c r="AE40" s="464">
        <f t="shared" si="26"/>
        <v>0</v>
      </c>
      <c r="AF40" s="464">
        <f t="shared" si="26"/>
        <v>0</v>
      </c>
      <c r="AG40" s="464">
        <f t="shared" si="26"/>
        <v>0</v>
      </c>
      <c r="AH40" s="464">
        <f t="shared" si="26"/>
        <v>0</v>
      </c>
      <c r="AI40" s="465">
        <f t="shared" si="26"/>
        <v>0</v>
      </c>
      <c r="AJ40" s="463">
        <f t="shared" ref="AJ40:BK41" si="32">+IF($G40=AJ$10,IF($I40=AJ$11,$K40,0),0)</f>
        <v>0</v>
      </c>
      <c r="AK40" s="464">
        <f t="shared" si="32"/>
        <v>0</v>
      </c>
      <c r="AL40" s="464">
        <f t="shared" si="32"/>
        <v>0</v>
      </c>
      <c r="AM40" s="464">
        <f t="shared" si="32"/>
        <v>0</v>
      </c>
      <c r="AN40" s="464">
        <f t="shared" si="32"/>
        <v>0</v>
      </c>
      <c r="AO40" s="465">
        <f t="shared" si="32"/>
        <v>0</v>
      </c>
      <c r="AP40" s="463">
        <f t="shared" si="27"/>
        <v>0</v>
      </c>
      <c r="AQ40" s="464">
        <f t="shared" si="27"/>
        <v>0</v>
      </c>
      <c r="AR40" s="464">
        <f t="shared" si="27"/>
        <v>0</v>
      </c>
      <c r="AS40" s="464">
        <f t="shared" si="27"/>
        <v>0</v>
      </c>
      <c r="AT40" s="464">
        <f t="shared" si="27"/>
        <v>0</v>
      </c>
      <c r="AU40" s="465">
        <f t="shared" si="27"/>
        <v>0</v>
      </c>
      <c r="AV40" s="463">
        <f t="shared" si="27"/>
        <v>0</v>
      </c>
      <c r="AW40" s="464">
        <f t="shared" si="27"/>
        <v>0</v>
      </c>
      <c r="AX40" s="464">
        <f t="shared" si="27"/>
        <v>0</v>
      </c>
      <c r="AY40" s="464">
        <f t="shared" si="27"/>
        <v>0</v>
      </c>
      <c r="AZ40" s="464">
        <f t="shared" si="27"/>
        <v>0</v>
      </c>
      <c r="BA40" s="465">
        <f t="shared" si="27"/>
        <v>0</v>
      </c>
      <c r="BB40" s="463">
        <f t="shared" si="27"/>
        <v>0</v>
      </c>
      <c r="BC40" s="464">
        <f t="shared" si="27"/>
        <v>0</v>
      </c>
      <c r="BD40" s="464">
        <f t="shared" si="27"/>
        <v>0</v>
      </c>
      <c r="BE40" s="464">
        <f t="shared" si="27"/>
        <v>0</v>
      </c>
      <c r="BF40" s="464">
        <f t="shared" si="27"/>
        <v>0</v>
      </c>
      <c r="BG40" s="465">
        <f t="shared" si="27"/>
        <v>0</v>
      </c>
      <c r="BH40" s="463">
        <f t="shared" si="32"/>
        <v>0</v>
      </c>
      <c r="BI40" s="464">
        <f t="shared" si="32"/>
        <v>0</v>
      </c>
      <c r="BJ40" s="464">
        <f t="shared" si="32"/>
        <v>0</v>
      </c>
      <c r="BK40" s="464">
        <f t="shared" si="32"/>
        <v>0</v>
      </c>
      <c r="BL40" s="464">
        <f t="shared" si="30"/>
        <v>0</v>
      </c>
      <c r="BM40" s="466">
        <f t="shared" si="30"/>
        <v>0</v>
      </c>
    </row>
    <row r="41" spans="3:65" s="467" customFormat="1" ht="16.5" hidden="1" customHeight="1">
      <c r="C41" s="454"/>
      <c r="D41" s="455"/>
      <c r="E41" s="456"/>
      <c r="F41" s="457" t="str">
        <f t="shared" si="18"/>
        <v>-</v>
      </c>
      <c r="G41" s="566" t="s">
        <v>1097</v>
      </c>
      <c r="H41" s="459" t="s">
        <v>196</v>
      </c>
      <c r="I41" s="460">
        <v>90</v>
      </c>
      <c r="J41" s="461">
        <v>250</v>
      </c>
      <c r="K41" s="462">
        <v>1</v>
      </c>
      <c r="L41" s="463">
        <f t="shared" si="31"/>
        <v>0</v>
      </c>
      <c r="M41" s="464">
        <f t="shared" si="31"/>
        <v>0</v>
      </c>
      <c r="N41" s="464">
        <f t="shared" si="31"/>
        <v>0</v>
      </c>
      <c r="O41" s="464">
        <f t="shared" si="31"/>
        <v>0</v>
      </c>
      <c r="P41" s="464">
        <f t="shared" si="31"/>
        <v>0</v>
      </c>
      <c r="Q41" s="465">
        <f t="shared" si="31"/>
        <v>0</v>
      </c>
      <c r="R41" s="463">
        <f t="shared" si="31"/>
        <v>0</v>
      </c>
      <c r="S41" s="464">
        <f t="shared" si="31"/>
        <v>0</v>
      </c>
      <c r="T41" s="464">
        <f t="shared" si="31"/>
        <v>0</v>
      </c>
      <c r="U41" s="464">
        <f t="shared" si="31"/>
        <v>0</v>
      </c>
      <c r="V41" s="464">
        <f t="shared" si="29"/>
        <v>0</v>
      </c>
      <c r="W41" s="465">
        <f t="shared" si="29"/>
        <v>0</v>
      </c>
      <c r="X41" s="463">
        <f t="shared" si="29"/>
        <v>0</v>
      </c>
      <c r="Y41" s="464">
        <f t="shared" si="29"/>
        <v>0</v>
      </c>
      <c r="Z41" s="464">
        <f t="shared" si="29"/>
        <v>0</v>
      </c>
      <c r="AA41" s="464">
        <f t="shared" si="29"/>
        <v>0</v>
      </c>
      <c r="AB41" s="464">
        <f t="shared" si="29"/>
        <v>0</v>
      </c>
      <c r="AC41" s="465">
        <f t="shared" si="25"/>
        <v>0</v>
      </c>
      <c r="AD41" s="463">
        <f t="shared" si="26"/>
        <v>0</v>
      </c>
      <c r="AE41" s="464">
        <f t="shared" si="26"/>
        <v>0</v>
      </c>
      <c r="AF41" s="464">
        <f t="shared" si="26"/>
        <v>0</v>
      </c>
      <c r="AG41" s="464">
        <f t="shared" si="26"/>
        <v>1</v>
      </c>
      <c r="AH41" s="464">
        <f t="shared" si="26"/>
        <v>0</v>
      </c>
      <c r="AI41" s="465">
        <f t="shared" si="26"/>
        <v>0</v>
      </c>
      <c r="AJ41" s="463">
        <f t="shared" si="32"/>
        <v>0</v>
      </c>
      <c r="AK41" s="464">
        <f t="shared" si="32"/>
        <v>0</v>
      </c>
      <c r="AL41" s="464">
        <f t="shared" si="32"/>
        <v>0</v>
      </c>
      <c r="AM41" s="464">
        <f t="shared" si="32"/>
        <v>0</v>
      </c>
      <c r="AN41" s="464">
        <f t="shared" si="32"/>
        <v>0</v>
      </c>
      <c r="AO41" s="465">
        <f t="shared" si="32"/>
        <v>0</v>
      </c>
      <c r="AP41" s="463">
        <f t="shared" si="27"/>
        <v>0</v>
      </c>
      <c r="AQ41" s="464">
        <f t="shared" si="27"/>
        <v>0</v>
      </c>
      <c r="AR41" s="464">
        <f t="shared" si="27"/>
        <v>0</v>
      </c>
      <c r="AS41" s="464">
        <f t="shared" si="27"/>
        <v>0</v>
      </c>
      <c r="AT41" s="464">
        <f t="shared" si="27"/>
        <v>0</v>
      </c>
      <c r="AU41" s="465">
        <f t="shared" si="27"/>
        <v>0</v>
      </c>
      <c r="AV41" s="463">
        <f t="shared" si="27"/>
        <v>0</v>
      </c>
      <c r="AW41" s="464">
        <f t="shared" si="27"/>
        <v>0</v>
      </c>
      <c r="AX41" s="464">
        <f t="shared" si="27"/>
        <v>0</v>
      </c>
      <c r="AY41" s="464">
        <f t="shared" si="27"/>
        <v>0</v>
      </c>
      <c r="AZ41" s="464">
        <f t="shared" si="27"/>
        <v>0</v>
      </c>
      <c r="BA41" s="465">
        <f t="shared" si="27"/>
        <v>0</v>
      </c>
      <c r="BB41" s="463">
        <f t="shared" si="27"/>
        <v>0</v>
      </c>
      <c r="BC41" s="464">
        <f t="shared" si="27"/>
        <v>0</v>
      </c>
      <c r="BD41" s="464">
        <f t="shared" si="27"/>
        <v>0</v>
      </c>
      <c r="BE41" s="464">
        <f t="shared" si="27"/>
        <v>0</v>
      </c>
      <c r="BF41" s="464">
        <f t="shared" si="27"/>
        <v>0</v>
      </c>
      <c r="BG41" s="465">
        <f t="shared" si="27"/>
        <v>0</v>
      </c>
      <c r="BH41" s="463">
        <f t="shared" si="32"/>
        <v>0</v>
      </c>
      <c r="BI41" s="464">
        <f t="shared" si="32"/>
        <v>0</v>
      </c>
      <c r="BJ41" s="464">
        <f t="shared" si="32"/>
        <v>0</v>
      </c>
      <c r="BK41" s="464">
        <f t="shared" si="32"/>
        <v>0</v>
      </c>
      <c r="BL41" s="464">
        <f t="shared" si="30"/>
        <v>0</v>
      </c>
      <c r="BM41" s="466">
        <f t="shared" si="30"/>
        <v>0</v>
      </c>
    </row>
    <row r="42" spans="3:65" s="467" customFormat="1" ht="16.5" hidden="1" customHeight="1">
      <c r="C42" s="454"/>
      <c r="D42" s="455"/>
      <c r="E42" s="456"/>
      <c r="F42" s="457" t="str">
        <f t="shared" ref="F42:F53" si="33">+CONCATENATE(D42,"-",E42)</f>
        <v>-</v>
      </c>
      <c r="G42" s="566" t="s">
        <v>1097</v>
      </c>
      <c r="H42" s="459" t="s">
        <v>196</v>
      </c>
      <c r="I42" s="460">
        <v>45</v>
      </c>
      <c r="J42" s="461">
        <v>250</v>
      </c>
      <c r="K42" s="462">
        <v>10</v>
      </c>
      <c r="L42" s="463">
        <f t="shared" si="31"/>
        <v>0</v>
      </c>
      <c r="M42" s="464">
        <f t="shared" si="31"/>
        <v>0</v>
      </c>
      <c r="N42" s="464">
        <f t="shared" si="31"/>
        <v>0</v>
      </c>
      <c r="O42" s="464">
        <f t="shared" si="31"/>
        <v>0</v>
      </c>
      <c r="P42" s="464">
        <f t="shared" si="31"/>
        <v>0</v>
      </c>
      <c r="Q42" s="465">
        <f t="shared" si="31"/>
        <v>0</v>
      </c>
      <c r="R42" s="463">
        <f t="shared" si="31"/>
        <v>0</v>
      </c>
      <c r="S42" s="464">
        <f t="shared" si="31"/>
        <v>0</v>
      </c>
      <c r="T42" s="464">
        <f t="shared" si="31"/>
        <v>0</v>
      </c>
      <c r="U42" s="464">
        <f t="shared" si="31"/>
        <v>0</v>
      </c>
      <c r="V42" s="464">
        <f t="shared" si="29"/>
        <v>0</v>
      </c>
      <c r="W42" s="465">
        <f t="shared" si="29"/>
        <v>0</v>
      </c>
      <c r="X42" s="463">
        <f t="shared" si="29"/>
        <v>0</v>
      </c>
      <c r="Y42" s="464">
        <f t="shared" si="29"/>
        <v>0</v>
      </c>
      <c r="Z42" s="464">
        <f t="shared" si="29"/>
        <v>0</v>
      </c>
      <c r="AA42" s="464">
        <f t="shared" si="29"/>
        <v>10</v>
      </c>
      <c r="AB42" s="464">
        <f t="shared" si="29"/>
        <v>0</v>
      </c>
      <c r="AC42" s="465">
        <f t="shared" si="25"/>
        <v>0</v>
      </c>
      <c r="AD42" s="463">
        <f t="shared" si="26"/>
        <v>0</v>
      </c>
      <c r="AE42" s="464">
        <f t="shared" si="26"/>
        <v>0</v>
      </c>
      <c r="AF42" s="464">
        <f t="shared" si="26"/>
        <v>0</v>
      </c>
      <c r="AG42" s="464">
        <f t="shared" si="26"/>
        <v>0</v>
      </c>
      <c r="AH42" s="464">
        <f t="shared" si="26"/>
        <v>0</v>
      </c>
      <c r="AI42" s="465">
        <f t="shared" si="26"/>
        <v>0</v>
      </c>
      <c r="AJ42" s="463">
        <f t="shared" ref="AJ42:BK53" si="34">+IF($G42=AJ$10,IF($I42=AJ$11,$K42,0),0)</f>
        <v>0</v>
      </c>
      <c r="AK42" s="464">
        <f t="shared" si="34"/>
        <v>0</v>
      </c>
      <c r="AL42" s="464">
        <f t="shared" si="34"/>
        <v>0</v>
      </c>
      <c r="AM42" s="464">
        <f t="shared" si="34"/>
        <v>0</v>
      </c>
      <c r="AN42" s="464">
        <f t="shared" si="34"/>
        <v>0</v>
      </c>
      <c r="AO42" s="465">
        <f t="shared" si="34"/>
        <v>0</v>
      </c>
      <c r="AP42" s="463">
        <f t="shared" si="34"/>
        <v>0</v>
      </c>
      <c r="AQ42" s="464">
        <f t="shared" si="34"/>
        <v>0</v>
      </c>
      <c r="AR42" s="464">
        <f t="shared" si="34"/>
        <v>0</v>
      </c>
      <c r="AS42" s="464">
        <f t="shared" si="34"/>
        <v>0</v>
      </c>
      <c r="AT42" s="464">
        <f t="shared" si="34"/>
        <v>0</v>
      </c>
      <c r="AU42" s="465">
        <f t="shared" si="34"/>
        <v>0</v>
      </c>
      <c r="AV42" s="463">
        <f t="shared" si="27"/>
        <v>0</v>
      </c>
      <c r="AW42" s="464">
        <f t="shared" si="27"/>
        <v>0</v>
      </c>
      <c r="AX42" s="464">
        <f t="shared" si="27"/>
        <v>0</v>
      </c>
      <c r="AY42" s="464">
        <f t="shared" si="27"/>
        <v>0</v>
      </c>
      <c r="AZ42" s="464">
        <f t="shared" si="27"/>
        <v>0</v>
      </c>
      <c r="BA42" s="465">
        <f t="shared" si="27"/>
        <v>0</v>
      </c>
      <c r="BB42" s="463">
        <f t="shared" si="27"/>
        <v>0</v>
      </c>
      <c r="BC42" s="464">
        <f t="shared" si="27"/>
        <v>0</v>
      </c>
      <c r="BD42" s="464">
        <f t="shared" si="27"/>
        <v>0</v>
      </c>
      <c r="BE42" s="464">
        <f t="shared" si="27"/>
        <v>0</v>
      </c>
      <c r="BF42" s="464">
        <f t="shared" si="27"/>
        <v>0</v>
      </c>
      <c r="BG42" s="465">
        <f t="shared" si="27"/>
        <v>0</v>
      </c>
      <c r="BH42" s="463">
        <f t="shared" si="34"/>
        <v>0</v>
      </c>
      <c r="BI42" s="464">
        <f t="shared" si="34"/>
        <v>0</v>
      </c>
      <c r="BJ42" s="464">
        <f t="shared" si="34"/>
        <v>0</v>
      </c>
      <c r="BK42" s="464">
        <f t="shared" si="34"/>
        <v>0</v>
      </c>
      <c r="BL42" s="464">
        <f t="shared" si="30"/>
        <v>0</v>
      </c>
      <c r="BM42" s="466">
        <f t="shared" si="30"/>
        <v>0</v>
      </c>
    </row>
    <row r="43" spans="3:65" s="467" customFormat="1" ht="16.5" hidden="1" customHeight="1">
      <c r="C43" s="454"/>
      <c r="D43" s="455"/>
      <c r="E43" s="456"/>
      <c r="F43" s="457" t="str">
        <f t="shared" si="33"/>
        <v>-</v>
      </c>
      <c r="G43" s="566" t="s">
        <v>1097</v>
      </c>
      <c r="H43" s="459" t="s">
        <v>196</v>
      </c>
      <c r="I43" s="460">
        <v>22.5</v>
      </c>
      <c r="J43" s="461">
        <v>250</v>
      </c>
      <c r="K43" s="462">
        <v>14</v>
      </c>
      <c r="L43" s="463">
        <f t="shared" si="31"/>
        <v>0</v>
      </c>
      <c r="M43" s="464">
        <f t="shared" si="31"/>
        <v>0</v>
      </c>
      <c r="N43" s="464">
        <f t="shared" si="31"/>
        <v>0</v>
      </c>
      <c r="O43" s="464">
        <f t="shared" si="31"/>
        <v>0</v>
      </c>
      <c r="P43" s="464">
        <f t="shared" si="31"/>
        <v>0</v>
      </c>
      <c r="Q43" s="465">
        <f t="shared" si="31"/>
        <v>0</v>
      </c>
      <c r="R43" s="463">
        <f t="shared" si="31"/>
        <v>0</v>
      </c>
      <c r="S43" s="464">
        <f t="shared" si="31"/>
        <v>0</v>
      </c>
      <c r="T43" s="464">
        <f t="shared" si="31"/>
        <v>0</v>
      </c>
      <c r="U43" s="464">
        <f t="shared" si="31"/>
        <v>14</v>
      </c>
      <c r="V43" s="464">
        <f t="shared" si="29"/>
        <v>0</v>
      </c>
      <c r="W43" s="465">
        <f t="shared" si="29"/>
        <v>0</v>
      </c>
      <c r="X43" s="463">
        <f t="shared" si="29"/>
        <v>0</v>
      </c>
      <c r="Y43" s="464">
        <f t="shared" si="29"/>
        <v>0</v>
      </c>
      <c r="Z43" s="464">
        <f t="shared" si="29"/>
        <v>0</v>
      </c>
      <c r="AA43" s="464">
        <f t="shared" si="29"/>
        <v>0</v>
      </c>
      <c r="AB43" s="464">
        <f t="shared" si="29"/>
        <v>0</v>
      </c>
      <c r="AC43" s="465">
        <f t="shared" si="25"/>
        <v>0</v>
      </c>
      <c r="AD43" s="463">
        <f t="shared" si="26"/>
        <v>0</v>
      </c>
      <c r="AE43" s="464">
        <f t="shared" si="26"/>
        <v>0</v>
      </c>
      <c r="AF43" s="464">
        <f t="shared" si="26"/>
        <v>0</v>
      </c>
      <c r="AG43" s="464">
        <f t="shared" si="26"/>
        <v>0</v>
      </c>
      <c r="AH43" s="464">
        <f t="shared" si="26"/>
        <v>0</v>
      </c>
      <c r="AI43" s="465">
        <f t="shared" si="26"/>
        <v>0</v>
      </c>
      <c r="AJ43" s="463">
        <f t="shared" si="34"/>
        <v>0</v>
      </c>
      <c r="AK43" s="464">
        <f t="shared" si="34"/>
        <v>0</v>
      </c>
      <c r="AL43" s="464">
        <f t="shared" si="34"/>
        <v>0</v>
      </c>
      <c r="AM43" s="464">
        <f t="shared" si="34"/>
        <v>0</v>
      </c>
      <c r="AN43" s="464">
        <f t="shared" si="34"/>
        <v>0</v>
      </c>
      <c r="AO43" s="465">
        <f t="shared" si="34"/>
        <v>0</v>
      </c>
      <c r="AP43" s="463">
        <f t="shared" si="34"/>
        <v>0</v>
      </c>
      <c r="AQ43" s="464">
        <f t="shared" si="34"/>
        <v>0</v>
      </c>
      <c r="AR43" s="464">
        <f t="shared" si="34"/>
        <v>0</v>
      </c>
      <c r="AS43" s="464">
        <f t="shared" si="34"/>
        <v>0</v>
      </c>
      <c r="AT43" s="464">
        <f t="shared" si="34"/>
        <v>0</v>
      </c>
      <c r="AU43" s="465">
        <f t="shared" si="34"/>
        <v>0</v>
      </c>
      <c r="AV43" s="463">
        <f t="shared" si="27"/>
        <v>0</v>
      </c>
      <c r="AW43" s="464">
        <f t="shared" si="27"/>
        <v>0</v>
      </c>
      <c r="AX43" s="464">
        <f t="shared" si="27"/>
        <v>0</v>
      </c>
      <c r="AY43" s="464">
        <f t="shared" si="27"/>
        <v>0</v>
      </c>
      <c r="AZ43" s="464">
        <f t="shared" si="27"/>
        <v>0</v>
      </c>
      <c r="BA43" s="465">
        <f t="shared" si="27"/>
        <v>0</v>
      </c>
      <c r="BB43" s="463">
        <f t="shared" si="27"/>
        <v>0</v>
      </c>
      <c r="BC43" s="464">
        <f t="shared" si="27"/>
        <v>0</v>
      </c>
      <c r="BD43" s="464">
        <f t="shared" si="27"/>
        <v>0</v>
      </c>
      <c r="BE43" s="464">
        <f t="shared" si="27"/>
        <v>0</v>
      </c>
      <c r="BF43" s="464">
        <f t="shared" si="27"/>
        <v>0</v>
      </c>
      <c r="BG43" s="465">
        <f t="shared" si="27"/>
        <v>0</v>
      </c>
      <c r="BH43" s="463">
        <f t="shared" si="34"/>
        <v>0</v>
      </c>
      <c r="BI43" s="464">
        <f t="shared" si="34"/>
        <v>0</v>
      </c>
      <c r="BJ43" s="464">
        <f t="shared" si="34"/>
        <v>0</v>
      </c>
      <c r="BK43" s="464">
        <f t="shared" si="34"/>
        <v>0</v>
      </c>
      <c r="BL43" s="464">
        <f t="shared" si="30"/>
        <v>0</v>
      </c>
      <c r="BM43" s="466">
        <f t="shared" si="30"/>
        <v>0</v>
      </c>
    </row>
    <row r="44" spans="3:65" s="467" customFormat="1" ht="16.5" hidden="1" customHeight="1">
      <c r="C44" s="454"/>
      <c r="D44" s="455"/>
      <c r="E44" s="456"/>
      <c r="F44" s="457" t="str">
        <f t="shared" si="33"/>
        <v>-</v>
      </c>
      <c r="G44" s="566" t="s">
        <v>1097</v>
      </c>
      <c r="H44" s="459" t="s">
        <v>196</v>
      </c>
      <c r="I44" s="460">
        <v>11.25</v>
      </c>
      <c r="J44" s="461">
        <v>250</v>
      </c>
      <c r="K44" s="462">
        <v>22</v>
      </c>
      <c r="L44" s="463">
        <f t="shared" si="31"/>
        <v>0</v>
      </c>
      <c r="M44" s="464">
        <f t="shared" si="31"/>
        <v>0</v>
      </c>
      <c r="N44" s="464">
        <f t="shared" si="31"/>
        <v>0</v>
      </c>
      <c r="O44" s="464">
        <f t="shared" si="31"/>
        <v>22</v>
      </c>
      <c r="P44" s="464">
        <f t="shared" si="31"/>
        <v>0</v>
      </c>
      <c r="Q44" s="465">
        <f t="shared" si="31"/>
        <v>0</v>
      </c>
      <c r="R44" s="463">
        <f t="shared" si="31"/>
        <v>0</v>
      </c>
      <c r="S44" s="464">
        <f t="shared" si="31"/>
        <v>0</v>
      </c>
      <c r="T44" s="464">
        <f t="shared" si="31"/>
        <v>0</v>
      </c>
      <c r="U44" s="464">
        <f t="shared" si="31"/>
        <v>0</v>
      </c>
      <c r="V44" s="464">
        <f t="shared" si="29"/>
        <v>0</v>
      </c>
      <c r="W44" s="465">
        <f t="shared" si="29"/>
        <v>0</v>
      </c>
      <c r="X44" s="463">
        <f t="shared" si="29"/>
        <v>0</v>
      </c>
      <c r="Y44" s="464">
        <f t="shared" si="29"/>
        <v>0</v>
      </c>
      <c r="Z44" s="464">
        <f t="shared" si="29"/>
        <v>0</v>
      </c>
      <c r="AA44" s="464">
        <f t="shared" si="29"/>
        <v>0</v>
      </c>
      <c r="AB44" s="464">
        <f t="shared" si="29"/>
        <v>0</v>
      </c>
      <c r="AC44" s="465">
        <f t="shared" si="25"/>
        <v>0</v>
      </c>
      <c r="AD44" s="463">
        <f t="shared" si="26"/>
        <v>0</v>
      </c>
      <c r="AE44" s="464">
        <f t="shared" si="26"/>
        <v>0</v>
      </c>
      <c r="AF44" s="464">
        <f t="shared" si="26"/>
        <v>0</v>
      </c>
      <c r="AG44" s="464">
        <f t="shared" si="26"/>
        <v>0</v>
      </c>
      <c r="AH44" s="464">
        <f t="shared" si="26"/>
        <v>0</v>
      </c>
      <c r="AI44" s="465">
        <f t="shared" si="26"/>
        <v>0</v>
      </c>
      <c r="AJ44" s="463">
        <f t="shared" si="34"/>
        <v>0</v>
      </c>
      <c r="AK44" s="464">
        <f t="shared" si="34"/>
        <v>0</v>
      </c>
      <c r="AL44" s="464">
        <f t="shared" si="34"/>
        <v>0</v>
      </c>
      <c r="AM44" s="464">
        <f t="shared" si="34"/>
        <v>0</v>
      </c>
      <c r="AN44" s="464">
        <f t="shared" si="34"/>
        <v>0</v>
      </c>
      <c r="AO44" s="465">
        <f t="shared" si="34"/>
        <v>0</v>
      </c>
      <c r="AP44" s="463">
        <f t="shared" si="34"/>
        <v>0</v>
      </c>
      <c r="AQ44" s="464">
        <f t="shared" si="34"/>
        <v>0</v>
      </c>
      <c r="AR44" s="464">
        <f t="shared" si="34"/>
        <v>0</v>
      </c>
      <c r="AS44" s="464">
        <f t="shared" si="34"/>
        <v>0</v>
      </c>
      <c r="AT44" s="464">
        <f t="shared" si="34"/>
        <v>0</v>
      </c>
      <c r="AU44" s="465">
        <f t="shared" si="34"/>
        <v>0</v>
      </c>
      <c r="AV44" s="463">
        <f t="shared" si="27"/>
        <v>0</v>
      </c>
      <c r="AW44" s="464">
        <f t="shared" si="27"/>
        <v>0</v>
      </c>
      <c r="AX44" s="464">
        <f t="shared" si="27"/>
        <v>0</v>
      </c>
      <c r="AY44" s="464">
        <f t="shared" si="27"/>
        <v>0</v>
      </c>
      <c r="AZ44" s="464">
        <f t="shared" si="27"/>
        <v>0</v>
      </c>
      <c r="BA44" s="465">
        <f t="shared" si="27"/>
        <v>0</v>
      </c>
      <c r="BB44" s="463">
        <f t="shared" si="27"/>
        <v>0</v>
      </c>
      <c r="BC44" s="464">
        <f t="shared" si="27"/>
        <v>0</v>
      </c>
      <c r="BD44" s="464">
        <f t="shared" si="27"/>
        <v>0</v>
      </c>
      <c r="BE44" s="464">
        <f t="shared" si="27"/>
        <v>0</v>
      </c>
      <c r="BF44" s="464">
        <f t="shared" si="27"/>
        <v>0</v>
      </c>
      <c r="BG44" s="465">
        <f t="shared" si="27"/>
        <v>0</v>
      </c>
      <c r="BH44" s="463">
        <f t="shared" si="34"/>
        <v>0</v>
      </c>
      <c r="BI44" s="464">
        <f t="shared" si="34"/>
        <v>0</v>
      </c>
      <c r="BJ44" s="464">
        <f t="shared" si="34"/>
        <v>0</v>
      </c>
      <c r="BK44" s="464">
        <f t="shared" si="34"/>
        <v>0</v>
      </c>
      <c r="BL44" s="464">
        <f t="shared" si="30"/>
        <v>0</v>
      </c>
      <c r="BM44" s="466">
        <f t="shared" si="30"/>
        <v>0</v>
      </c>
    </row>
    <row r="45" spans="3:65" s="467" customFormat="1" ht="16.5" hidden="1" customHeight="1">
      <c r="C45" s="454"/>
      <c r="D45" s="455"/>
      <c r="E45" s="456"/>
      <c r="F45" s="457" t="str">
        <f t="shared" si="33"/>
        <v>-</v>
      </c>
      <c r="G45" s="566" t="s">
        <v>1097</v>
      </c>
      <c r="H45" s="459" t="s">
        <v>196</v>
      </c>
      <c r="I45" s="460">
        <v>45</v>
      </c>
      <c r="J45" s="461">
        <v>300</v>
      </c>
      <c r="K45" s="462">
        <v>10</v>
      </c>
      <c r="L45" s="463">
        <f t="shared" si="31"/>
        <v>0</v>
      </c>
      <c r="M45" s="464">
        <f t="shared" si="31"/>
        <v>0</v>
      </c>
      <c r="N45" s="464">
        <f t="shared" si="31"/>
        <v>0</v>
      </c>
      <c r="O45" s="464">
        <f t="shared" si="31"/>
        <v>0</v>
      </c>
      <c r="P45" s="464">
        <f t="shared" si="31"/>
        <v>0</v>
      </c>
      <c r="Q45" s="465">
        <f t="shared" si="31"/>
        <v>0</v>
      </c>
      <c r="R45" s="463">
        <f t="shared" si="31"/>
        <v>0</v>
      </c>
      <c r="S45" s="464">
        <f t="shared" si="31"/>
        <v>0</v>
      </c>
      <c r="T45" s="464">
        <f t="shared" si="31"/>
        <v>0</v>
      </c>
      <c r="U45" s="464">
        <f t="shared" si="31"/>
        <v>0</v>
      </c>
      <c r="V45" s="464">
        <f t="shared" si="29"/>
        <v>0</v>
      </c>
      <c r="W45" s="465">
        <f t="shared" si="29"/>
        <v>0</v>
      </c>
      <c r="X45" s="463">
        <f t="shared" si="29"/>
        <v>0</v>
      </c>
      <c r="Y45" s="464">
        <f t="shared" si="29"/>
        <v>0</v>
      </c>
      <c r="Z45" s="464">
        <f t="shared" si="29"/>
        <v>0</v>
      </c>
      <c r="AA45" s="464">
        <f t="shared" si="29"/>
        <v>0</v>
      </c>
      <c r="AB45" s="464">
        <f t="shared" si="29"/>
        <v>10</v>
      </c>
      <c r="AC45" s="465">
        <f t="shared" si="25"/>
        <v>0</v>
      </c>
      <c r="AD45" s="463">
        <f t="shared" si="26"/>
        <v>0</v>
      </c>
      <c r="AE45" s="464">
        <f t="shared" si="26"/>
        <v>0</v>
      </c>
      <c r="AF45" s="464">
        <f t="shared" si="26"/>
        <v>0</v>
      </c>
      <c r="AG45" s="464">
        <f t="shared" si="26"/>
        <v>0</v>
      </c>
      <c r="AH45" s="464">
        <f t="shared" si="26"/>
        <v>0</v>
      </c>
      <c r="AI45" s="465">
        <f t="shared" si="26"/>
        <v>0</v>
      </c>
      <c r="AJ45" s="463">
        <f t="shared" si="34"/>
        <v>0</v>
      </c>
      <c r="AK45" s="464">
        <f t="shared" si="34"/>
        <v>0</v>
      </c>
      <c r="AL45" s="464">
        <f t="shared" si="34"/>
        <v>0</v>
      </c>
      <c r="AM45" s="464">
        <f t="shared" si="34"/>
        <v>0</v>
      </c>
      <c r="AN45" s="464">
        <f t="shared" si="34"/>
        <v>0</v>
      </c>
      <c r="AO45" s="465">
        <f t="shared" si="34"/>
        <v>0</v>
      </c>
      <c r="AP45" s="463">
        <f t="shared" si="34"/>
        <v>0</v>
      </c>
      <c r="AQ45" s="464">
        <f t="shared" si="34"/>
        <v>0</v>
      </c>
      <c r="AR45" s="464">
        <f t="shared" si="34"/>
        <v>0</v>
      </c>
      <c r="AS45" s="464">
        <f t="shared" si="34"/>
        <v>0</v>
      </c>
      <c r="AT45" s="464">
        <f t="shared" si="34"/>
        <v>0</v>
      </c>
      <c r="AU45" s="465">
        <f t="shared" si="34"/>
        <v>0</v>
      </c>
      <c r="AV45" s="463">
        <f t="shared" si="27"/>
        <v>0</v>
      </c>
      <c r="AW45" s="464">
        <f t="shared" si="27"/>
        <v>0</v>
      </c>
      <c r="AX45" s="464">
        <f t="shared" si="27"/>
        <v>0</v>
      </c>
      <c r="AY45" s="464">
        <f t="shared" si="27"/>
        <v>0</v>
      </c>
      <c r="AZ45" s="464">
        <f t="shared" si="27"/>
        <v>0</v>
      </c>
      <c r="BA45" s="465">
        <f t="shared" si="27"/>
        <v>0</v>
      </c>
      <c r="BB45" s="463">
        <f t="shared" si="27"/>
        <v>0</v>
      </c>
      <c r="BC45" s="464">
        <f t="shared" si="27"/>
        <v>0</v>
      </c>
      <c r="BD45" s="464">
        <f t="shared" si="27"/>
        <v>0</v>
      </c>
      <c r="BE45" s="464">
        <f t="shared" si="27"/>
        <v>0</v>
      </c>
      <c r="BF45" s="464">
        <f t="shared" si="27"/>
        <v>0</v>
      </c>
      <c r="BG45" s="465">
        <f t="shared" ref="BB45:BG53" si="35">+IF($G45=BG$10,IF($I45=BG$11,$K45,0),0)</f>
        <v>0</v>
      </c>
      <c r="BH45" s="463">
        <f t="shared" si="34"/>
        <v>0</v>
      </c>
      <c r="BI45" s="464">
        <f t="shared" si="34"/>
        <v>0</v>
      </c>
      <c r="BJ45" s="464">
        <f t="shared" si="34"/>
        <v>0</v>
      </c>
      <c r="BK45" s="464">
        <f t="shared" si="34"/>
        <v>0</v>
      </c>
      <c r="BL45" s="464">
        <f t="shared" si="30"/>
        <v>0</v>
      </c>
      <c r="BM45" s="466">
        <f t="shared" si="30"/>
        <v>0</v>
      </c>
    </row>
    <row r="46" spans="3:65" s="467" customFormat="1" ht="16.5" hidden="1" customHeight="1">
      <c r="C46" s="454"/>
      <c r="D46" s="455"/>
      <c r="E46" s="456"/>
      <c r="F46" s="457" t="str">
        <f t="shared" si="33"/>
        <v>-</v>
      </c>
      <c r="G46" s="566" t="s">
        <v>1097</v>
      </c>
      <c r="H46" s="459" t="s">
        <v>196</v>
      </c>
      <c r="I46" s="460">
        <v>22.5</v>
      </c>
      <c r="J46" s="461">
        <v>300</v>
      </c>
      <c r="K46" s="462">
        <v>2</v>
      </c>
      <c r="L46" s="463">
        <f t="shared" si="31"/>
        <v>0</v>
      </c>
      <c r="M46" s="464">
        <f t="shared" si="31"/>
        <v>0</v>
      </c>
      <c r="N46" s="464">
        <f t="shared" si="31"/>
        <v>0</v>
      </c>
      <c r="O46" s="464">
        <f t="shared" si="31"/>
        <v>0</v>
      </c>
      <c r="P46" s="464">
        <f t="shared" si="31"/>
        <v>0</v>
      </c>
      <c r="Q46" s="465">
        <f t="shared" si="31"/>
        <v>0</v>
      </c>
      <c r="R46" s="463">
        <f t="shared" si="31"/>
        <v>0</v>
      </c>
      <c r="S46" s="464">
        <f t="shared" si="31"/>
        <v>0</v>
      </c>
      <c r="T46" s="464">
        <f t="shared" si="31"/>
        <v>0</v>
      </c>
      <c r="U46" s="464">
        <f t="shared" si="31"/>
        <v>0</v>
      </c>
      <c r="V46" s="464">
        <f t="shared" si="29"/>
        <v>2</v>
      </c>
      <c r="W46" s="465">
        <f t="shared" si="29"/>
        <v>0</v>
      </c>
      <c r="X46" s="463">
        <f t="shared" si="29"/>
        <v>0</v>
      </c>
      <c r="Y46" s="464">
        <f t="shared" si="29"/>
        <v>0</v>
      </c>
      <c r="Z46" s="464">
        <f t="shared" si="29"/>
        <v>0</v>
      </c>
      <c r="AA46" s="464">
        <f t="shared" si="29"/>
        <v>0</v>
      </c>
      <c r="AB46" s="464">
        <f t="shared" si="29"/>
        <v>0</v>
      </c>
      <c r="AC46" s="465">
        <f t="shared" si="25"/>
        <v>0</v>
      </c>
      <c r="AD46" s="463">
        <f t="shared" si="26"/>
        <v>0</v>
      </c>
      <c r="AE46" s="464">
        <f t="shared" si="26"/>
        <v>0</v>
      </c>
      <c r="AF46" s="464">
        <f t="shared" si="26"/>
        <v>0</v>
      </c>
      <c r="AG46" s="464">
        <f t="shared" si="26"/>
        <v>0</v>
      </c>
      <c r="AH46" s="464">
        <f t="shared" si="26"/>
        <v>0</v>
      </c>
      <c r="AI46" s="465">
        <f t="shared" si="26"/>
        <v>0</v>
      </c>
      <c r="AJ46" s="463">
        <f t="shared" si="34"/>
        <v>0</v>
      </c>
      <c r="AK46" s="464">
        <f t="shared" si="34"/>
        <v>0</v>
      </c>
      <c r="AL46" s="464">
        <f t="shared" si="34"/>
        <v>0</v>
      </c>
      <c r="AM46" s="464">
        <f t="shared" si="34"/>
        <v>0</v>
      </c>
      <c r="AN46" s="464">
        <f t="shared" si="34"/>
        <v>0</v>
      </c>
      <c r="AO46" s="465">
        <f t="shared" si="34"/>
        <v>0</v>
      </c>
      <c r="AP46" s="463">
        <f t="shared" si="34"/>
        <v>0</v>
      </c>
      <c r="AQ46" s="464">
        <f t="shared" si="34"/>
        <v>0</v>
      </c>
      <c r="AR46" s="464">
        <f t="shared" si="34"/>
        <v>0</v>
      </c>
      <c r="AS46" s="464">
        <f t="shared" si="34"/>
        <v>0</v>
      </c>
      <c r="AT46" s="464">
        <f t="shared" si="34"/>
        <v>0</v>
      </c>
      <c r="AU46" s="465">
        <f t="shared" si="34"/>
        <v>0</v>
      </c>
      <c r="AV46" s="463">
        <f t="shared" si="27"/>
        <v>0</v>
      </c>
      <c r="AW46" s="464">
        <f t="shared" si="27"/>
        <v>0</v>
      </c>
      <c r="AX46" s="464">
        <f t="shared" si="27"/>
        <v>0</v>
      </c>
      <c r="AY46" s="464">
        <f t="shared" si="27"/>
        <v>0</v>
      </c>
      <c r="AZ46" s="464">
        <f t="shared" si="27"/>
        <v>0</v>
      </c>
      <c r="BA46" s="465">
        <f t="shared" si="27"/>
        <v>0</v>
      </c>
      <c r="BB46" s="463">
        <f t="shared" si="35"/>
        <v>0</v>
      </c>
      <c r="BC46" s="464">
        <f t="shared" si="35"/>
        <v>0</v>
      </c>
      <c r="BD46" s="464">
        <f t="shared" si="35"/>
        <v>0</v>
      </c>
      <c r="BE46" s="464">
        <f t="shared" si="35"/>
        <v>0</v>
      </c>
      <c r="BF46" s="464">
        <f t="shared" si="35"/>
        <v>0</v>
      </c>
      <c r="BG46" s="465">
        <f t="shared" si="35"/>
        <v>0</v>
      </c>
      <c r="BH46" s="463">
        <f t="shared" si="34"/>
        <v>0</v>
      </c>
      <c r="BI46" s="464">
        <f t="shared" si="34"/>
        <v>0</v>
      </c>
      <c r="BJ46" s="464">
        <f t="shared" si="34"/>
        <v>0</v>
      </c>
      <c r="BK46" s="464">
        <f t="shared" si="34"/>
        <v>0</v>
      </c>
      <c r="BL46" s="464">
        <f t="shared" si="30"/>
        <v>0</v>
      </c>
      <c r="BM46" s="466">
        <f t="shared" si="30"/>
        <v>0</v>
      </c>
    </row>
    <row r="47" spans="3:65" s="467" customFormat="1" ht="16.5" hidden="1" customHeight="1">
      <c r="C47" s="454"/>
      <c r="D47" s="455"/>
      <c r="E47" s="456"/>
      <c r="F47" s="457" t="str">
        <f t="shared" si="33"/>
        <v>-</v>
      </c>
      <c r="G47" s="566" t="s">
        <v>1097</v>
      </c>
      <c r="H47" s="459" t="s">
        <v>196</v>
      </c>
      <c r="I47" s="460">
        <v>11.25</v>
      </c>
      <c r="J47" s="461">
        <v>300</v>
      </c>
      <c r="K47" s="462">
        <v>5</v>
      </c>
      <c r="L47" s="463">
        <f t="shared" si="31"/>
        <v>0</v>
      </c>
      <c r="M47" s="464">
        <f t="shared" si="31"/>
        <v>0</v>
      </c>
      <c r="N47" s="464">
        <f t="shared" si="31"/>
        <v>0</v>
      </c>
      <c r="O47" s="464">
        <f t="shared" si="31"/>
        <v>0</v>
      </c>
      <c r="P47" s="464">
        <f t="shared" si="31"/>
        <v>5</v>
      </c>
      <c r="Q47" s="465">
        <f t="shared" si="31"/>
        <v>0</v>
      </c>
      <c r="R47" s="463">
        <f t="shared" si="31"/>
        <v>0</v>
      </c>
      <c r="S47" s="464">
        <f t="shared" si="31"/>
        <v>0</v>
      </c>
      <c r="T47" s="464">
        <f t="shared" si="31"/>
        <v>0</v>
      </c>
      <c r="U47" s="464">
        <f t="shared" si="31"/>
        <v>0</v>
      </c>
      <c r="V47" s="464">
        <f t="shared" si="29"/>
        <v>0</v>
      </c>
      <c r="W47" s="465">
        <f t="shared" si="29"/>
        <v>0</v>
      </c>
      <c r="X47" s="463">
        <f t="shared" si="29"/>
        <v>0</v>
      </c>
      <c r="Y47" s="464">
        <f t="shared" si="29"/>
        <v>0</v>
      </c>
      <c r="Z47" s="464">
        <f t="shared" si="29"/>
        <v>0</v>
      </c>
      <c r="AA47" s="464">
        <f t="shared" si="29"/>
        <v>0</v>
      </c>
      <c r="AB47" s="464">
        <f t="shared" si="29"/>
        <v>0</v>
      </c>
      <c r="AC47" s="465">
        <f t="shared" si="25"/>
        <v>0</v>
      </c>
      <c r="AD47" s="463">
        <f t="shared" si="26"/>
        <v>0</v>
      </c>
      <c r="AE47" s="464">
        <f t="shared" si="26"/>
        <v>0</v>
      </c>
      <c r="AF47" s="464">
        <f t="shared" si="26"/>
        <v>0</v>
      </c>
      <c r="AG47" s="464">
        <f t="shared" si="26"/>
        <v>0</v>
      </c>
      <c r="AH47" s="464">
        <f t="shared" si="26"/>
        <v>0</v>
      </c>
      <c r="AI47" s="465">
        <f t="shared" si="26"/>
        <v>0</v>
      </c>
      <c r="AJ47" s="463">
        <f t="shared" si="34"/>
        <v>0</v>
      </c>
      <c r="AK47" s="464">
        <f t="shared" si="34"/>
        <v>0</v>
      </c>
      <c r="AL47" s="464">
        <f t="shared" si="34"/>
        <v>0</v>
      </c>
      <c r="AM47" s="464">
        <f t="shared" si="34"/>
        <v>0</v>
      </c>
      <c r="AN47" s="464">
        <f t="shared" si="34"/>
        <v>0</v>
      </c>
      <c r="AO47" s="465">
        <f t="shared" si="34"/>
        <v>0</v>
      </c>
      <c r="AP47" s="463">
        <f t="shared" si="34"/>
        <v>0</v>
      </c>
      <c r="AQ47" s="464">
        <f t="shared" si="34"/>
        <v>0</v>
      </c>
      <c r="AR47" s="464">
        <f t="shared" si="34"/>
        <v>0</v>
      </c>
      <c r="AS47" s="464">
        <f t="shared" si="34"/>
        <v>0</v>
      </c>
      <c r="AT47" s="464">
        <f t="shared" si="34"/>
        <v>0</v>
      </c>
      <c r="AU47" s="465">
        <f t="shared" si="34"/>
        <v>0</v>
      </c>
      <c r="AV47" s="463">
        <f t="shared" si="27"/>
        <v>0</v>
      </c>
      <c r="AW47" s="464">
        <f t="shared" si="27"/>
        <v>0</v>
      </c>
      <c r="AX47" s="464">
        <f t="shared" si="27"/>
        <v>0</v>
      </c>
      <c r="AY47" s="464">
        <f t="shared" si="27"/>
        <v>0</v>
      </c>
      <c r="AZ47" s="464">
        <f t="shared" si="27"/>
        <v>0</v>
      </c>
      <c r="BA47" s="465">
        <f t="shared" si="27"/>
        <v>0</v>
      </c>
      <c r="BB47" s="463">
        <f t="shared" si="35"/>
        <v>0</v>
      </c>
      <c r="BC47" s="464">
        <f t="shared" si="35"/>
        <v>0</v>
      </c>
      <c r="BD47" s="464">
        <f t="shared" si="35"/>
        <v>0</v>
      </c>
      <c r="BE47" s="464">
        <f t="shared" si="35"/>
        <v>0</v>
      </c>
      <c r="BF47" s="464">
        <f t="shared" si="35"/>
        <v>0</v>
      </c>
      <c r="BG47" s="465">
        <f t="shared" si="35"/>
        <v>0</v>
      </c>
      <c r="BH47" s="463">
        <f t="shared" si="34"/>
        <v>0</v>
      </c>
      <c r="BI47" s="464">
        <f t="shared" si="34"/>
        <v>0</v>
      </c>
      <c r="BJ47" s="464">
        <f t="shared" si="34"/>
        <v>0</v>
      </c>
      <c r="BK47" s="464">
        <f t="shared" si="34"/>
        <v>0</v>
      </c>
      <c r="BL47" s="464">
        <f t="shared" si="30"/>
        <v>0</v>
      </c>
      <c r="BM47" s="466">
        <f t="shared" si="30"/>
        <v>0</v>
      </c>
    </row>
    <row r="48" spans="3:65" s="467" customFormat="1" ht="16.5" hidden="1" customHeight="1">
      <c r="C48" s="454"/>
      <c r="D48" s="455"/>
      <c r="E48" s="456"/>
      <c r="F48" s="457" t="str">
        <f t="shared" si="33"/>
        <v>-</v>
      </c>
      <c r="G48" s="566" t="s">
        <v>1096</v>
      </c>
      <c r="H48" s="459" t="s">
        <v>196</v>
      </c>
      <c r="I48" s="460">
        <v>200</v>
      </c>
      <c r="J48" s="461">
        <v>200</v>
      </c>
      <c r="K48" s="462">
        <v>1</v>
      </c>
      <c r="L48" s="463">
        <f t="shared" si="31"/>
        <v>0</v>
      </c>
      <c r="M48" s="464">
        <f t="shared" si="31"/>
        <v>0</v>
      </c>
      <c r="N48" s="464">
        <f t="shared" si="31"/>
        <v>0</v>
      </c>
      <c r="O48" s="464">
        <f t="shared" si="31"/>
        <v>0</v>
      </c>
      <c r="P48" s="464">
        <f t="shared" si="31"/>
        <v>0</v>
      </c>
      <c r="Q48" s="465">
        <f t="shared" si="31"/>
        <v>0</v>
      </c>
      <c r="R48" s="463">
        <f t="shared" si="31"/>
        <v>0</v>
      </c>
      <c r="S48" s="464">
        <f t="shared" si="31"/>
        <v>0</v>
      </c>
      <c r="T48" s="464">
        <f t="shared" si="31"/>
        <v>0</v>
      </c>
      <c r="U48" s="464">
        <f t="shared" si="31"/>
        <v>0</v>
      </c>
      <c r="V48" s="464">
        <f t="shared" si="29"/>
        <v>0</v>
      </c>
      <c r="W48" s="465">
        <f t="shared" si="29"/>
        <v>0</v>
      </c>
      <c r="X48" s="463">
        <f t="shared" si="29"/>
        <v>0</v>
      </c>
      <c r="Y48" s="464">
        <f t="shared" si="29"/>
        <v>0</v>
      </c>
      <c r="Z48" s="464">
        <f t="shared" si="29"/>
        <v>0</v>
      </c>
      <c r="AA48" s="464">
        <f t="shared" si="29"/>
        <v>0</v>
      </c>
      <c r="AB48" s="464">
        <f t="shared" si="29"/>
        <v>0</v>
      </c>
      <c r="AC48" s="465">
        <f t="shared" si="25"/>
        <v>0</v>
      </c>
      <c r="AD48" s="463">
        <f t="shared" si="26"/>
        <v>0</v>
      </c>
      <c r="AE48" s="464">
        <f t="shared" si="26"/>
        <v>0</v>
      </c>
      <c r="AF48" s="464">
        <f t="shared" si="26"/>
        <v>0</v>
      </c>
      <c r="AG48" s="464">
        <f t="shared" si="26"/>
        <v>0</v>
      </c>
      <c r="AH48" s="464">
        <f t="shared" si="26"/>
        <v>0</v>
      </c>
      <c r="AI48" s="465">
        <f t="shared" si="26"/>
        <v>0</v>
      </c>
      <c r="AJ48" s="463">
        <f t="shared" si="34"/>
        <v>0</v>
      </c>
      <c r="AK48" s="464">
        <f t="shared" si="34"/>
        <v>0</v>
      </c>
      <c r="AL48" s="464">
        <f t="shared" si="34"/>
        <v>0</v>
      </c>
      <c r="AM48" s="464">
        <f t="shared" si="34"/>
        <v>0</v>
      </c>
      <c r="AN48" s="464">
        <f t="shared" si="34"/>
        <v>0</v>
      </c>
      <c r="AO48" s="465">
        <f t="shared" si="34"/>
        <v>0</v>
      </c>
      <c r="AP48" s="463">
        <f t="shared" si="34"/>
        <v>0</v>
      </c>
      <c r="AQ48" s="464">
        <f t="shared" si="34"/>
        <v>0</v>
      </c>
      <c r="AR48" s="464">
        <f t="shared" si="34"/>
        <v>0</v>
      </c>
      <c r="AS48" s="464">
        <v>1</v>
      </c>
      <c r="AT48" s="464">
        <f t="shared" si="34"/>
        <v>0</v>
      </c>
      <c r="AU48" s="465">
        <f t="shared" si="34"/>
        <v>0</v>
      </c>
      <c r="AV48" s="463">
        <f t="shared" si="27"/>
        <v>0</v>
      </c>
      <c r="AW48" s="464">
        <f t="shared" si="27"/>
        <v>0</v>
      </c>
      <c r="AX48" s="464">
        <f t="shared" si="27"/>
        <v>0</v>
      </c>
      <c r="AY48" s="464">
        <f t="shared" si="27"/>
        <v>0</v>
      </c>
      <c r="AZ48" s="464">
        <f t="shared" si="27"/>
        <v>0</v>
      </c>
      <c r="BA48" s="465">
        <f t="shared" si="27"/>
        <v>0</v>
      </c>
      <c r="BB48" s="463">
        <f t="shared" si="35"/>
        <v>0</v>
      </c>
      <c r="BC48" s="464">
        <f t="shared" si="35"/>
        <v>0</v>
      </c>
      <c r="BD48" s="464">
        <f t="shared" si="35"/>
        <v>1</v>
      </c>
      <c r="BE48" s="464">
        <f t="shared" si="35"/>
        <v>0</v>
      </c>
      <c r="BF48" s="464">
        <f t="shared" si="35"/>
        <v>0</v>
      </c>
      <c r="BG48" s="465">
        <f t="shared" si="35"/>
        <v>0</v>
      </c>
      <c r="BH48" s="463">
        <f t="shared" si="34"/>
        <v>0</v>
      </c>
      <c r="BI48" s="464">
        <f t="shared" si="34"/>
        <v>1</v>
      </c>
      <c r="BJ48" s="464">
        <f t="shared" si="34"/>
        <v>0</v>
      </c>
      <c r="BK48" s="464">
        <f t="shared" si="34"/>
        <v>0</v>
      </c>
      <c r="BL48" s="464">
        <f t="shared" si="30"/>
        <v>0</v>
      </c>
      <c r="BM48" s="466">
        <f t="shared" si="30"/>
        <v>0</v>
      </c>
    </row>
    <row r="49" spans="3:65" s="467" customFormat="1" ht="16.5" hidden="1" customHeight="1">
      <c r="C49" s="454"/>
      <c r="D49" s="455"/>
      <c r="E49" s="456"/>
      <c r="F49" s="457" t="str">
        <f t="shared" si="33"/>
        <v>-</v>
      </c>
      <c r="G49" s="566" t="s">
        <v>1096</v>
      </c>
      <c r="H49" s="459" t="s">
        <v>196</v>
      </c>
      <c r="I49" s="460">
        <v>250</v>
      </c>
      <c r="J49" s="461">
        <v>200</v>
      </c>
      <c r="K49" s="462">
        <v>2</v>
      </c>
      <c r="L49" s="463">
        <f t="shared" si="31"/>
        <v>0</v>
      </c>
      <c r="M49" s="464">
        <f t="shared" si="31"/>
        <v>0</v>
      </c>
      <c r="N49" s="464">
        <f t="shared" si="31"/>
        <v>0</v>
      </c>
      <c r="O49" s="464">
        <f t="shared" si="31"/>
        <v>0</v>
      </c>
      <c r="P49" s="464">
        <f t="shared" si="31"/>
        <v>0</v>
      </c>
      <c r="Q49" s="465">
        <f t="shared" si="31"/>
        <v>0</v>
      </c>
      <c r="R49" s="463">
        <f t="shared" si="31"/>
        <v>0</v>
      </c>
      <c r="S49" s="464">
        <f t="shared" si="31"/>
        <v>0</v>
      </c>
      <c r="T49" s="464">
        <f t="shared" si="31"/>
        <v>0</v>
      </c>
      <c r="U49" s="464">
        <f t="shared" si="31"/>
        <v>0</v>
      </c>
      <c r="V49" s="464">
        <f t="shared" si="29"/>
        <v>0</v>
      </c>
      <c r="W49" s="465">
        <f t="shared" si="29"/>
        <v>0</v>
      </c>
      <c r="X49" s="463">
        <f t="shared" si="29"/>
        <v>0</v>
      </c>
      <c r="Y49" s="464">
        <f t="shared" si="29"/>
        <v>0</v>
      </c>
      <c r="Z49" s="464">
        <f t="shared" si="29"/>
        <v>0</v>
      </c>
      <c r="AA49" s="464">
        <f t="shared" si="29"/>
        <v>0</v>
      </c>
      <c r="AB49" s="464">
        <f t="shared" si="29"/>
        <v>0</v>
      </c>
      <c r="AC49" s="465">
        <f t="shared" si="25"/>
        <v>0</v>
      </c>
      <c r="AD49" s="463">
        <f t="shared" si="26"/>
        <v>0</v>
      </c>
      <c r="AE49" s="464">
        <f t="shared" si="26"/>
        <v>0</v>
      </c>
      <c r="AF49" s="464">
        <f t="shared" si="26"/>
        <v>0</v>
      </c>
      <c r="AG49" s="464">
        <f t="shared" si="26"/>
        <v>0</v>
      </c>
      <c r="AH49" s="464">
        <f t="shared" si="26"/>
        <v>0</v>
      </c>
      <c r="AI49" s="465">
        <f t="shared" si="26"/>
        <v>0</v>
      </c>
      <c r="AJ49" s="463">
        <f t="shared" si="34"/>
        <v>0</v>
      </c>
      <c r="AK49" s="464">
        <f t="shared" si="34"/>
        <v>0</v>
      </c>
      <c r="AL49" s="464">
        <f t="shared" si="34"/>
        <v>0</v>
      </c>
      <c r="AM49" s="464">
        <f t="shared" si="34"/>
        <v>0</v>
      </c>
      <c r="AN49" s="464">
        <f t="shared" si="34"/>
        <v>0</v>
      </c>
      <c r="AO49" s="465">
        <f t="shared" si="34"/>
        <v>0</v>
      </c>
      <c r="AP49" s="463">
        <f t="shared" si="34"/>
        <v>0</v>
      </c>
      <c r="AQ49" s="464">
        <f t="shared" si="34"/>
        <v>0</v>
      </c>
      <c r="AR49" s="464">
        <f t="shared" si="34"/>
        <v>0</v>
      </c>
      <c r="AS49" s="464">
        <f t="shared" si="34"/>
        <v>0</v>
      </c>
      <c r="AT49" s="464">
        <f t="shared" si="34"/>
        <v>0</v>
      </c>
      <c r="AU49" s="465">
        <f t="shared" si="34"/>
        <v>0</v>
      </c>
      <c r="AV49" s="463">
        <f t="shared" si="27"/>
        <v>0</v>
      </c>
      <c r="AW49" s="464">
        <f t="shared" si="27"/>
        <v>0</v>
      </c>
      <c r="AX49" s="464">
        <f t="shared" si="27"/>
        <v>0</v>
      </c>
      <c r="AY49" s="464">
        <v>1</v>
      </c>
      <c r="AZ49" s="464">
        <f t="shared" si="27"/>
        <v>0</v>
      </c>
      <c r="BA49" s="465">
        <f t="shared" si="27"/>
        <v>0</v>
      </c>
      <c r="BB49" s="463">
        <f t="shared" si="35"/>
        <v>0</v>
      </c>
      <c r="BC49" s="464">
        <f t="shared" si="35"/>
        <v>0</v>
      </c>
      <c r="BD49" s="464">
        <f t="shared" si="35"/>
        <v>0</v>
      </c>
      <c r="BE49" s="464">
        <f t="shared" si="35"/>
        <v>2</v>
      </c>
      <c r="BF49" s="464">
        <f t="shared" si="35"/>
        <v>0</v>
      </c>
      <c r="BG49" s="465">
        <f t="shared" si="35"/>
        <v>0</v>
      </c>
      <c r="BH49" s="463">
        <f t="shared" si="34"/>
        <v>0</v>
      </c>
      <c r="BI49" s="464">
        <f t="shared" si="34"/>
        <v>0</v>
      </c>
      <c r="BJ49" s="464">
        <f t="shared" si="34"/>
        <v>2</v>
      </c>
      <c r="BK49" s="464">
        <f t="shared" si="34"/>
        <v>0</v>
      </c>
      <c r="BL49" s="464">
        <f t="shared" si="30"/>
        <v>0</v>
      </c>
      <c r="BM49" s="466">
        <f t="shared" si="30"/>
        <v>0</v>
      </c>
    </row>
    <row r="50" spans="3:65" s="467" customFormat="1" ht="16.5" hidden="1" customHeight="1">
      <c r="C50" s="454"/>
      <c r="D50" s="455"/>
      <c r="E50" s="456"/>
      <c r="F50" s="457" t="str">
        <f t="shared" si="33"/>
        <v>-</v>
      </c>
      <c r="G50" s="566" t="s">
        <v>1096</v>
      </c>
      <c r="H50" s="459" t="s">
        <v>196</v>
      </c>
      <c r="I50" s="460">
        <v>300</v>
      </c>
      <c r="J50" s="461">
        <v>100</v>
      </c>
      <c r="K50" s="462">
        <v>1</v>
      </c>
      <c r="L50" s="463">
        <f t="shared" si="31"/>
        <v>0</v>
      </c>
      <c r="M50" s="464">
        <f t="shared" si="31"/>
        <v>0</v>
      </c>
      <c r="N50" s="464">
        <f t="shared" si="31"/>
        <v>0</v>
      </c>
      <c r="O50" s="464">
        <f t="shared" ref="L50:U53" si="36">+IF($G50="CODO",IF($I50=O$10,IF($J50=O$11,$K50,0),0),0)</f>
        <v>0</v>
      </c>
      <c r="P50" s="464">
        <f t="shared" si="36"/>
        <v>0</v>
      </c>
      <c r="Q50" s="465">
        <f t="shared" si="36"/>
        <v>0</v>
      </c>
      <c r="R50" s="463">
        <f t="shared" si="36"/>
        <v>0</v>
      </c>
      <c r="S50" s="464">
        <f t="shared" si="36"/>
        <v>0</v>
      </c>
      <c r="T50" s="464">
        <f t="shared" si="36"/>
        <v>0</v>
      </c>
      <c r="U50" s="464">
        <f t="shared" si="36"/>
        <v>0</v>
      </c>
      <c r="V50" s="464">
        <f t="shared" si="29"/>
        <v>0</v>
      </c>
      <c r="W50" s="465">
        <f t="shared" si="29"/>
        <v>0</v>
      </c>
      <c r="X50" s="463">
        <f t="shared" si="29"/>
        <v>0</v>
      </c>
      <c r="Y50" s="464">
        <f t="shared" si="29"/>
        <v>0</v>
      </c>
      <c r="Z50" s="464">
        <f t="shared" si="29"/>
        <v>0</v>
      </c>
      <c r="AA50" s="464">
        <f t="shared" si="29"/>
        <v>0</v>
      </c>
      <c r="AB50" s="464">
        <f t="shared" si="29"/>
        <v>0</v>
      </c>
      <c r="AC50" s="465">
        <f t="shared" si="25"/>
        <v>0</v>
      </c>
      <c r="AD50" s="463">
        <f t="shared" si="26"/>
        <v>0</v>
      </c>
      <c r="AE50" s="464">
        <f t="shared" si="26"/>
        <v>0</v>
      </c>
      <c r="AF50" s="464">
        <f t="shared" si="26"/>
        <v>0</v>
      </c>
      <c r="AG50" s="464">
        <f t="shared" si="26"/>
        <v>0</v>
      </c>
      <c r="AH50" s="464">
        <f t="shared" si="26"/>
        <v>0</v>
      </c>
      <c r="AI50" s="465">
        <f t="shared" si="26"/>
        <v>0</v>
      </c>
      <c r="AJ50" s="463">
        <f t="shared" si="34"/>
        <v>0</v>
      </c>
      <c r="AK50" s="464">
        <f t="shared" si="34"/>
        <v>0</v>
      </c>
      <c r="AL50" s="464">
        <f t="shared" si="34"/>
        <v>0</v>
      </c>
      <c r="AM50" s="464">
        <f t="shared" si="34"/>
        <v>0</v>
      </c>
      <c r="AN50" s="464">
        <f t="shared" si="34"/>
        <v>0</v>
      </c>
      <c r="AO50" s="465">
        <f t="shared" si="34"/>
        <v>0</v>
      </c>
      <c r="AP50" s="463">
        <f t="shared" si="34"/>
        <v>0</v>
      </c>
      <c r="AQ50" s="464">
        <f t="shared" si="34"/>
        <v>0</v>
      </c>
      <c r="AR50" s="464">
        <f t="shared" si="34"/>
        <v>0</v>
      </c>
      <c r="AS50" s="464">
        <f t="shared" si="34"/>
        <v>0</v>
      </c>
      <c r="AT50" s="464">
        <f t="shared" si="34"/>
        <v>0</v>
      </c>
      <c r="AU50" s="465">
        <f t="shared" si="34"/>
        <v>0</v>
      </c>
      <c r="AV50" s="463">
        <f t="shared" si="27"/>
        <v>0</v>
      </c>
      <c r="AW50" s="464">
        <f t="shared" si="27"/>
        <v>0</v>
      </c>
      <c r="AX50" s="464">
        <f t="shared" si="27"/>
        <v>0</v>
      </c>
      <c r="AY50" s="464">
        <f t="shared" si="27"/>
        <v>0</v>
      </c>
      <c r="AZ50" s="464">
        <f t="shared" si="27"/>
        <v>0</v>
      </c>
      <c r="BA50" s="465">
        <f t="shared" si="27"/>
        <v>0</v>
      </c>
      <c r="BB50" s="463">
        <v>1</v>
      </c>
      <c r="BC50" s="464">
        <f t="shared" si="35"/>
        <v>0</v>
      </c>
      <c r="BD50" s="464">
        <f t="shared" si="35"/>
        <v>0</v>
      </c>
      <c r="BE50" s="464">
        <f t="shared" si="35"/>
        <v>0</v>
      </c>
      <c r="BF50" s="464">
        <f t="shared" si="35"/>
        <v>1</v>
      </c>
      <c r="BG50" s="465">
        <f t="shared" si="35"/>
        <v>0</v>
      </c>
      <c r="BH50" s="463">
        <f t="shared" si="34"/>
        <v>0</v>
      </c>
      <c r="BI50" s="464">
        <f t="shared" si="34"/>
        <v>0</v>
      </c>
      <c r="BJ50" s="464">
        <f t="shared" si="34"/>
        <v>0</v>
      </c>
      <c r="BK50" s="464">
        <f t="shared" si="34"/>
        <v>1</v>
      </c>
      <c r="BL50" s="464">
        <f t="shared" si="30"/>
        <v>0</v>
      </c>
      <c r="BM50" s="466">
        <f t="shared" si="30"/>
        <v>0</v>
      </c>
    </row>
    <row r="51" spans="3:65" s="467" customFormat="1" ht="16.5" hidden="1" customHeight="1">
      <c r="C51" s="454"/>
      <c r="D51" s="455"/>
      <c r="E51" s="456"/>
      <c r="F51" s="457" t="str">
        <f t="shared" si="33"/>
        <v>-</v>
      </c>
      <c r="G51" s="566" t="s">
        <v>1096</v>
      </c>
      <c r="H51" s="459" t="s">
        <v>196</v>
      </c>
      <c r="I51" s="460">
        <v>300</v>
      </c>
      <c r="J51" s="461">
        <v>200</v>
      </c>
      <c r="K51" s="462">
        <v>1</v>
      </c>
      <c r="L51" s="463">
        <f t="shared" si="36"/>
        <v>0</v>
      </c>
      <c r="M51" s="464">
        <f t="shared" si="36"/>
        <v>0</v>
      </c>
      <c r="N51" s="464">
        <f t="shared" si="36"/>
        <v>0</v>
      </c>
      <c r="O51" s="464">
        <f t="shared" si="36"/>
        <v>0</v>
      </c>
      <c r="P51" s="464">
        <f t="shared" si="36"/>
        <v>0</v>
      </c>
      <c r="Q51" s="465">
        <f t="shared" si="36"/>
        <v>0</v>
      </c>
      <c r="R51" s="463">
        <f t="shared" si="36"/>
        <v>0</v>
      </c>
      <c r="S51" s="464">
        <f t="shared" si="36"/>
        <v>0</v>
      </c>
      <c r="T51" s="464">
        <f t="shared" si="36"/>
        <v>0</v>
      </c>
      <c r="U51" s="464">
        <f t="shared" si="36"/>
        <v>0</v>
      </c>
      <c r="V51" s="464">
        <f t="shared" si="29"/>
        <v>0</v>
      </c>
      <c r="W51" s="465">
        <f t="shared" si="29"/>
        <v>0</v>
      </c>
      <c r="X51" s="463">
        <f t="shared" si="29"/>
        <v>0</v>
      </c>
      <c r="Y51" s="464">
        <f t="shared" si="29"/>
        <v>0</v>
      </c>
      <c r="Z51" s="464">
        <f t="shared" si="29"/>
        <v>0</v>
      </c>
      <c r="AA51" s="464">
        <f t="shared" si="29"/>
        <v>0</v>
      </c>
      <c r="AB51" s="464">
        <f t="shared" si="29"/>
        <v>0</v>
      </c>
      <c r="AC51" s="465">
        <f t="shared" si="25"/>
        <v>0</v>
      </c>
      <c r="AD51" s="463">
        <f t="shared" si="26"/>
        <v>0</v>
      </c>
      <c r="AE51" s="464">
        <f t="shared" si="26"/>
        <v>0</v>
      </c>
      <c r="AF51" s="464">
        <f t="shared" si="26"/>
        <v>0</v>
      </c>
      <c r="AG51" s="464">
        <f t="shared" si="26"/>
        <v>0</v>
      </c>
      <c r="AH51" s="464">
        <f t="shared" si="26"/>
        <v>0</v>
      </c>
      <c r="AI51" s="465">
        <f t="shared" si="26"/>
        <v>0</v>
      </c>
      <c r="AJ51" s="463">
        <f t="shared" si="34"/>
        <v>0</v>
      </c>
      <c r="AK51" s="464">
        <f t="shared" si="34"/>
        <v>0</v>
      </c>
      <c r="AL51" s="464">
        <f t="shared" si="34"/>
        <v>0</v>
      </c>
      <c r="AM51" s="464">
        <f t="shared" si="34"/>
        <v>0</v>
      </c>
      <c r="AN51" s="464">
        <f t="shared" si="34"/>
        <v>0</v>
      </c>
      <c r="AO51" s="465">
        <f t="shared" si="34"/>
        <v>0</v>
      </c>
      <c r="AP51" s="463">
        <f t="shared" si="34"/>
        <v>0</v>
      </c>
      <c r="AQ51" s="464">
        <f t="shared" si="34"/>
        <v>0</v>
      </c>
      <c r="AR51" s="464">
        <f t="shared" si="34"/>
        <v>0</v>
      </c>
      <c r="AS51" s="464">
        <f t="shared" si="34"/>
        <v>0</v>
      </c>
      <c r="AT51" s="464">
        <f t="shared" si="34"/>
        <v>0</v>
      </c>
      <c r="AU51" s="465">
        <f t="shared" si="34"/>
        <v>0</v>
      </c>
      <c r="AV51" s="463">
        <f t="shared" si="27"/>
        <v>0</v>
      </c>
      <c r="AW51" s="464">
        <f t="shared" si="27"/>
        <v>0</v>
      </c>
      <c r="AX51" s="464">
        <f t="shared" si="27"/>
        <v>0</v>
      </c>
      <c r="AY51" s="464">
        <f t="shared" si="27"/>
        <v>0</v>
      </c>
      <c r="AZ51" s="464">
        <f t="shared" si="27"/>
        <v>0</v>
      </c>
      <c r="BA51" s="465">
        <f t="shared" si="27"/>
        <v>0</v>
      </c>
      <c r="BB51" s="463">
        <f t="shared" si="35"/>
        <v>0</v>
      </c>
      <c r="BC51" s="464">
        <f t="shared" si="35"/>
        <v>0</v>
      </c>
      <c r="BD51" s="464">
        <v>1</v>
      </c>
      <c r="BE51" s="464">
        <f t="shared" si="35"/>
        <v>0</v>
      </c>
      <c r="BF51" s="464">
        <f t="shared" si="35"/>
        <v>1</v>
      </c>
      <c r="BG51" s="465">
        <f t="shared" si="35"/>
        <v>0</v>
      </c>
      <c r="BH51" s="463">
        <f t="shared" si="34"/>
        <v>0</v>
      </c>
      <c r="BI51" s="464">
        <f t="shared" si="34"/>
        <v>0</v>
      </c>
      <c r="BJ51" s="464">
        <f t="shared" si="34"/>
        <v>0</v>
      </c>
      <c r="BK51" s="464">
        <f t="shared" si="34"/>
        <v>1</v>
      </c>
      <c r="BL51" s="464">
        <f t="shared" si="30"/>
        <v>0</v>
      </c>
      <c r="BM51" s="466">
        <f t="shared" si="30"/>
        <v>0</v>
      </c>
    </row>
    <row r="52" spans="3:65" s="467" customFormat="1" ht="16.5" hidden="1" customHeight="1">
      <c r="C52" s="454"/>
      <c r="D52" s="455"/>
      <c r="E52" s="456"/>
      <c r="F52" s="457" t="str">
        <f t="shared" si="33"/>
        <v>-</v>
      </c>
      <c r="G52" s="566" t="s">
        <v>1096</v>
      </c>
      <c r="H52" s="459" t="s">
        <v>196</v>
      </c>
      <c r="I52" s="460">
        <v>300</v>
      </c>
      <c r="J52" s="461">
        <v>250</v>
      </c>
      <c r="K52" s="462">
        <v>1</v>
      </c>
      <c r="L52" s="463">
        <f t="shared" si="36"/>
        <v>0</v>
      </c>
      <c r="M52" s="464">
        <f t="shared" si="36"/>
        <v>0</v>
      </c>
      <c r="N52" s="464">
        <f t="shared" si="36"/>
        <v>0</v>
      </c>
      <c r="O52" s="464">
        <f t="shared" si="36"/>
        <v>0</v>
      </c>
      <c r="P52" s="464">
        <f t="shared" si="36"/>
        <v>0</v>
      </c>
      <c r="Q52" s="465">
        <f t="shared" si="36"/>
        <v>0</v>
      </c>
      <c r="R52" s="463">
        <f t="shared" si="36"/>
        <v>0</v>
      </c>
      <c r="S52" s="464">
        <f t="shared" si="36"/>
        <v>0</v>
      </c>
      <c r="T52" s="464">
        <f t="shared" si="36"/>
        <v>0</v>
      </c>
      <c r="U52" s="464">
        <f t="shared" si="36"/>
        <v>0</v>
      </c>
      <c r="V52" s="464">
        <f t="shared" si="29"/>
        <v>0</v>
      </c>
      <c r="W52" s="465">
        <f t="shared" si="29"/>
        <v>0</v>
      </c>
      <c r="X52" s="463">
        <f t="shared" si="29"/>
        <v>0</v>
      </c>
      <c r="Y52" s="464">
        <f t="shared" si="29"/>
        <v>0</v>
      </c>
      <c r="Z52" s="464">
        <f t="shared" si="29"/>
        <v>0</v>
      </c>
      <c r="AA52" s="464">
        <f t="shared" si="29"/>
        <v>0</v>
      </c>
      <c r="AB52" s="464">
        <f t="shared" si="29"/>
        <v>0</v>
      </c>
      <c r="AC52" s="465">
        <f t="shared" ref="AC52:AI53" si="37">+IF($G52="CODO",IF($I52=AC$10,IF($J52=AC$11,$K52,0),0),0)</f>
        <v>0</v>
      </c>
      <c r="AD52" s="463">
        <f t="shared" si="37"/>
        <v>0</v>
      </c>
      <c r="AE52" s="464">
        <f t="shared" si="37"/>
        <v>0</v>
      </c>
      <c r="AF52" s="464">
        <f t="shared" si="37"/>
        <v>0</v>
      </c>
      <c r="AG52" s="464">
        <f t="shared" si="37"/>
        <v>0</v>
      </c>
      <c r="AH52" s="464">
        <f t="shared" si="37"/>
        <v>0</v>
      </c>
      <c r="AI52" s="465">
        <f t="shared" si="37"/>
        <v>0</v>
      </c>
      <c r="AJ52" s="463">
        <f t="shared" si="34"/>
        <v>0</v>
      </c>
      <c r="AK52" s="464">
        <f t="shared" si="34"/>
        <v>0</v>
      </c>
      <c r="AL52" s="464">
        <f t="shared" si="34"/>
        <v>0</v>
      </c>
      <c r="AM52" s="464">
        <f t="shared" si="34"/>
        <v>0</v>
      </c>
      <c r="AN52" s="464">
        <f t="shared" si="34"/>
        <v>0</v>
      </c>
      <c r="AO52" s="465">
        <f t="shared" si="34"/>
        <v>0</v>
      </c>
      <c r="AP52" s="463">
        <f t="shared" si="34"/>
        <v>0</v>
      </c>
      <c r="AQ52" s="464">
        <f t="shared" si="34"/>
        <v>0</v>
      </c>
      <c r="AR52" s="464">
        <f t="shared" si="34"/>
        <v>0</v>
      </c>
      <c r="AS52" s="464">
        <f t="shared" ref="AP52:BD53" si="38">+IF($G52=AS$10,IF($I52=AS$11,$K52,0),0)</f>
        <v>0</v>
      </c>
      <c r="AT52" s="464">
        <f t="shared" si="38"/>
        <v>0</v>
      </c>
      <c r="AU52" s="465">
        <f t="shared" si="38"/>
        <v>0</v>
      </c>
      <c r="AV52" s="463">
        <f t="shared" si="38"/>
        <v>0</v>
      </c>
      <c r="AW52" s="464">
        <f t="shared" si="38"/>
        <v>0</v>
      </c>
      <c r="AX52" s="464">
        <f t="shared" si="38"/>
        <v>0</v>
      </c>
      <c r="AY52" s="464">
        <f t="shared" si="38"/>
        <v>0</v>
      </c>
      <c r="AZ52" s="464">
        <f t="shared" si="38"/>
        <v>0</v>
      </c>
      <c r="BA52" s="465">
        <f t="shared" si="38"/>
        <v>0</v>
      </c>
      <c r="BB52" s="463">
        <f t="shared" si="38"/>
        <v>0</v>
      </c>
      <c r="BC52" s="464">
        <f t="shared" si="38"/>
        <v>0</v>
      </c>
      <c r="BD52" s="464">
        <f t="shared" si="38"/>
        <v>0</v>
      </c>
      <c r="BE52" s="464">
        <v>1</v>
      </c>
      <c r="BF52" s="464">
        <f t="shared" si="35"/>
        <v>1</v>
      </c>
      <c r="BG52" s="465">
        <f t="shared" si="35"/>
        <v>0</v>
      </c>
      <c r="BH52" s="463">
        <f t="shared" si="34"/>
        <v>0</v>
      </c>
      <c r="BI52" s="464">
        <f t="shared" si="34"/>
        <v>0</v>
      </c>
      <c r="BJ52" s="464">
        <f t="shared" si="34"/>
        <v>0</v>
      </c>
      <c r="BK52" s="464">
        <f t="shared" si="34"/>
        <v>1</v>
      </c>
      <c r="BL52" s="464">
        <f t="shared" si="30"/>
        <v>0</v>
      </c>
      <c r="BM52" s="466">
        <f t="shared" si="30"/>
        <v>0</v>
      </c>
    </row>
    <row r="53" spans="3:65" s="467" customFormat="1" ht="16.5" hidden="1" customHeight="1">
      <c r="C53" s="454"/>
      <c r="D53" s="455"/>
      <c r="E53" s="456"/>
      <c r="F53" s="457" t="str">
        <f t="shared" si="33"/>
        <v>-</v>
      </c>
      <c r="G53" s="566" t="s">
        <v>1096</v>
      </c>
      <c r="H53" s="459" t="s">
        <v>196</v>
      </c>
      <c r="I53" s="460">
        <v>200</v>
      </c>
      <c r="J53" s="461">
        <v>150</v>
      </c>
      <c r="K53" s="462">
        <v>1</v>
      </c>
      <c r="L53" s="463">
        <f t="shared" si="36"/>
        <v>0</v>
      </c>
      <c r="M53" s="464">
        <f t="shared" si="36"/>
        <v>0</v>
      </c>
      <c r="N53" s="464">
        <f t="shared" si="36"/>
        <v>0</v>
      </c>
      <c r="O53" s="464">
        <f t="shared" si="36"/>
        <v>0</v>
      </c>
      <c r="P53" s="464">
        <f t="shared" si="36"/>
        <v>0</v>
      </c>
      <c r="Q53" s="465">
        <f t="shared" si="36"/>
        <v>0</v>
      </c>
      <c r="R53" s="463">
        <f t="shared" si="36"/>
        <v>0</v>
      </c>
      <c r="S53" s="464">
        <f t="shared" si="36"/>
        <v>0</v>
      </c>
      <c r="T53" s="464">
        <f t="shared" si="36"/>
        <v>0</v>
      </c>
      <c r="U53" s="464">
        <f t="shared" si="36"/>
        <v>0</v>
      </c>
      <c r="V53" s="464">
        <f t="shared" si="29"/>
        <v>0</v>
      </c>
      <c r="W53" s="465">
        <f t="shared" si="29"/>
        <v>0</v>
      </c>
      <c r="X53" s="463">
        <f t="shared" si="29"/>
        <v>0</v>
      </c>
      <c r="Y53" s="464">
        <f t="shared" si="29"/>
        <v>0</v>
      </c>
      <c r="Z53" s="464">
        <f t="shared" si="29"/>
        <v>0</v>
      </c>
      <c r="AA53" s="464">
        <f t="shared" si="29"/>
        <v>0</v>
      </c>
      <c r="AB53" s="464">
        <f t="shared" si="29"/>
        <v>0</v>
      </c>
      <c r="AC53" s="465">
        <f t="shared" si="37"/>
        <v>0</v>
      </c>
      <c r="AD53" s="463">
        <f t="shared" si="37"/>
        <v>0</v>
      </c>
      <c r="AE53" s="464">
        <f t="shared" si="37"/>
        <v>0</v>
      </c>
      <c r="AF53" s="464">
        <f t="shared" si="37"/>
        <v>0</v>
      </c>
      <c r="AG53" s="464">
        <f t="shared" si="37"/>
        <v>0</v>
      </c>
      <c r="AH53" s="464">
        <f t="shared" si="37"/>
        <v>0</v>
      </c>
      <c r="AI53" s="465">
        <f t="shared" si="37"/>
        <v>0</v>
      </c>
      <c r="AJ53" s="463">
        <f t="shared" si="34"/>
        <v>0</v>
      </c>
      <c r="AK53" s="464">
        <f t="shared" si="34"/>
        <v>0</v>
      </c>
      <c r="AL53" s="464">
        <f t="shared" si="34"/>
        <v>0</v>
      </c>
      <c r="AM53" s="464">
        <f t="shared" si="34"/>
        <v>0</v>
      </c>
      <c r="AN53" s="464">
        <f t="shared" si="34"/>
        <v>0</v>
      </c>
      <c r="AO53" s="465">
        <f t="shared" si="34"/>
        <v>0</v>
      </c>
      <c r="AP53" s="463">
        <f t="shared" si="38"/>
        <v>0</v>
      </c>
      <c r="AQ53" s="464">
        <f t="shared" si="38"/>
        <v>0</v>
      </c>
      <c r="AR53" s="464">
        <v>1</v>
      </c>
      <c r="AS53" s="464">
        <f t="shared" si="38"/>
        <v>0</v>
      </c>
      <c r="AT53" s="464">
        <f t="shared" si="38"/>
        <v>0</v>
      </c>
      <c r="AU53" s="465">
        <f t="shared" si="38"/>
        <v>0</v>
      </c>
      <c r="AV53" s="463">
        <f t="shared" si="38"/>
        <v>0</v>
      </c>
      <c r="AW53" s="464">
        <f t="shared" si="38"/>
        <v>0</v>
      </c>
      <c r="AX53" s="464">
        <f t="shared" si="38"/>
        <v>0</v>
      </c>
      <c r="AY53" s="464">
        <f t="shared" si="38"/>
        <v>0</v>
      </c>
      <c r="AZ53" s="464">
        <f t="shared" si="38"/>
        <v>0</v>
      </c>
      <c r="BA53" s="465">
        <f t="shared" si="38"/>
        <v>0</v>
      </c>
      <c r="BB53" s="463">
        <f t="shared" si="35"/>
        <v>0</v>
      </c>
      <c r="BC53" s="464">
        <f t="shared" si="35"/>
        <v>0</v>
      </c>
      <c r="BD53" s="464">
        <f t="shared" si="35"/>
        <v>1</v>
      </c>
      <c r="BE53" s="464">
        <f t="shared" si="35"/>
        <v>0</v>
      </c>
      <c r="BF53" s="464">
        <f t="shared" si="35"/>
        <v>0</v>
      </c>
      <c r="BG53" s="465">
        <f t="shared" si="35"/>
        <v>0</v>
      </c>
      <c r="BH53" s="463">
        <f t="shared" si="34"/>
        <v>0</v>
      </c>
      <c r="BI53" s="464">
        <f t="shared" si="34"/>
        <v>1</v>
      </c>
      <c r="BJ53" s="464">
        <f t="shared" si="34"/>
        <v>0</v>
      </c>
      <c r="BK53" s="464">
        <f t="shared" si="34"/>
        <v>0</v>
      </c>
      <c r="BL53" s="464">
        <f t="shared" si="30"/>
        <v>0</v>
      </c>
      <c r="BM53" s="466">
        <f t="shared" si="30"/>
        <v>0</v>
      </c>
    </row>
    <row r="54" spans="3:65" s="467" customFormat="1" ht="5.25" hidden="1" customHeight="1" thickBot="1">
      <c r="C54" s="454"/>
      <c r="D54" s="455"/>
      <c r="E54" s="456"/>
      <c r="F54" s="457" t="str">
        <f t="shared" si="18"/>
        <v>-</v>
      </c>
      <c r="G54" s="566"/>
      <c r="H54" s="459"/>
      <c r="I54" s="460"/>
      <c r="J54" s="461"/>
      <c r="K54" s="462">
        <f t="shared" si="19"/>
        <v>0</v>
      </c>
      <c r="L54" s="463">
        <f t="shared" ref="L54:AA54" si="39">+IF($G54="CODO",IF($I54=L$10,IF($J54=L$11,$K54,0),0),0)</f>
        <v>0</v>
      </c>
      <c r="M54" s="464">
        <f t="shared" si="39"/>
        <v>0</v>
      </c>
      <c r="N54" s="464">
        <f t="shared" si="39"/>
        <v>0</v>
      </c>
      <c r="O54" s="464">
        <f t="shared" si="39"/>
        <v>0</v>
      </c>
      <c r="P54" s="464">
        <f t="shared" si="39"/>
        <v>0</v>
      </c>
      <c r="Q54" s="465">
        <f t="shared" si="39"/>
        <v>0</v>
      </c>
      <c r="R54" s="463">
        <f t="shared" si="39"/>
        <v>0</v>
      </c>
      <c r="S54" s="464">
        <f t="shared" si="39"/>
        <v>0</v>
      </c>
      <c r="T54" s="464">
        <f t="shared" si="39"/>
        <v>0</v>
      </c>
      <c r="U54" s="464">
        <f t="shared" si="39"/>
        <v>0</v>
      </c>
      <c r="V54" s="464">
        <f t="shared" si="39"/>
        <v>0</v>
      </c>
      <c r="W54" s="465">
        <f t="shared" si="39"/>
        <v>0</v>
      </c>
      <c r="X54" s="463">
        <f t="shared" si="39"/>
        <v>0</v>
      </c>
      <c r="Y54" s="464">
        <f t="shared" si="39"/>
        <v>0</v>
      </c>
      <c r="Z54" s="464">
        <f t="shared" si="39"/>
        <v>0</v>
      </c>
      <c r="AA54" s="464">
        <f t="shared" si="39"/>
        <v>0</v>
      </c>
      <c r="AB54" s="464">
        <f t="shared" ref="AB54:AI54" si="40">+IF($G54="CODO",IF($I54=AB$10,IF($J54=AB$11,$K54,0),0),0)</f>
        <v>0</v>
      </c>
      <c r="AC54" s="465">
        <f t="shared" si="40"/>
        <v>0</v>
      </c>
      <c r="AD54" s="463">
        <f t="shared" si="40"/>
        <v>0</v>
      </c>
      <c r="AE54" s="464">
        <f t="shared" si="40"/>
        <v>0</v>
      </c>
      <c r="AF54" s="464">
        <f t="shared" si="40"/>
        <v>0</v>
      </c>
      <c r="AG54" s="464">
        <f t="shared" si="40"/>
        <v>0</v>
      </c>
      <c r="AH54" s="464">
        <f t="shared" si="40"/>
        <v>0</v>
      </c>
      <c r="AI54" s="465">
        <f t="shared" si="40"/>
        <v>0</v>
      </c>
      <c r="AJ54" s="463">
        <f t="shared" ref="AJ54:BK54" si="41">+IF($G54=AJ$10,IF($I54=AJ$11,$K54,0),0)</f>
        <v>0</v>
      </c>
      <c r="AK54" s="464">
        <f t="shared" si="41"/>
        <v>0</v>
      </c>
      <c r="AL54" s="464">
        <f t="shared" si="41"/>
        <v>0</v>
      </c>
      <c r="AM54" s="464">
        <f t="shared" si="41"/>
        <v>0</v>
      </c>
      <c r="AN54" s="464">
        <f t="shared" si="41"/>
        <v>0</v>
      </c>
      <c r="AO54" s="465">
        <f t="shared" si="41"/>
        <v>0</v>
      </c>
      <c r="AP54" s="463">
        <f t="shared" si="41"/>
        <v>0</v>
      </c>
      <c r="AQ54" s="464">
        <f t="shared" si="41"/>
        <v>0</v>
      </c>
      <c r="AR54" s="464">
        <f t="shared" si="41"/>
        <v>0</v>
      </c>
      <c r="AS54" s="464">
        <f t="shared" si="41"/>
        <v>0</v>
      </c>
      <c r="AT54" s="464">
        <f t="shared" si="41"/>
        <v>0</v>
      </c>
      <c r="AU54" s="465">
        <f t="shared" si="41"/>
        <v>0</v>
      </c>
      <c r="AV54" s="463">
        <f t="shared" si="41"/>
        <v>0</v>
      </c>
      <c r="AW54" s="464">
        <f t="shared" si="41"/>
        <v>0</v>
      </c>
      <c r="AX54" s="464">
        <f t="shared" si="41"/>
        <v>0</v>
      </c>
      <c r="AY54" s="464">
        <f t="shared" si="41"/>
        <v>0</v>
      </c>
      <c r="AZ54" s="464">
        <f t="shared" si="41"/>
        <v>0</v>
      </c>
      <c r="BA54" s="465">
        <f t="shared" si="41"/>
        <v>0</v>
      </c>
      <c r="BB54" s="463">
        <f t="shared" si="41"/>
        <v>0</v>
      </c>
      <c r="BC54" s="464">
        <f t="shared" si="41"/>
        <v>0</v>
      </c>
      <c r="BD54" s="464">
        <f t="shared" si="41"/>
        <v>0</v>
      </c>
      <c r="BE54" s="464">
        <f t="shared" si="41"/>
        <v>0</v>
      </c>
      <c r="BF54" s="464">
        <f t="shared" si="41"/>
        <v>0</v>
      </c>
      <c r="BG54" s="465">
        <f t="shared" si="41"/>
        <v>0</v>
      </c>
      <c r="BH54" s="463">
        <f t="shared" si="41"/>
        <v>0</v>
      </c>
      <c r="BI54" s="464">
        <f t="shared" si="41"/>
        <v>0</v>
      </c>
      <c r="BJ54" s="464">
        <f t="shared" si="41"/>
        <v>0</v>
      </c>
      <c r="BK54" s="464">
        <f t="shared" si="41"/>
        <v>0</v>
      </c>
      <c r="BL54" s="464">
        <f t="shared" ref="BL54:BM54" si="42">+IF($G54=BL$10,IF($I54=BL$11,$K54,0),0)</f>
        <v>0</v>
      </c>
      <c r="BM54" s="466">
        <f t="shared" si="42"/>
        <v>0</v>
      </c>
    </row>
    <row r="55" spans="3:65" s="482" customFormat="1" ht="12.6" hidden="1" thickBot="1">
      <c r="C55" s="469" t="s">
        <v>1098</v>
      </c>
      <c r="D55" s="470"/>
      <c r="E55" s="471"/>
      <c r="F55" s="472"/>
      <c r="G55" s="567">
        <f>SUM(G14:G54)</f>
        <v>0</v>
      </c>
      <c r="H55" s="473">
        <f>SUM(H14:H54)</f>
        <v>0</v>
      </c>
      <c r="I55" s="473"/>
      <c r="J55" s="474"/>
      <c r="K55" s="475"/>
      <c r="L55" s="476">
        <f t="shared" ref="L55:AQ55" si="43">SUM(L14:L54)</f>
        <v>9</v>
      </c>
      <c r="M55" s="477">
        <f t="shared" si="43"/>
        <v>15</v>
      </c>
      <c r="N55" s="477">
        <f t="shared" si="43"/>
        <v>0</v>
      </c>
      <c r="O55" s="477">
        <f t="shared" si="43"/>
        <v>29</v>
      </c>
      <c r="P55" s="477">
        <f t="shared" si="43"/>
        <v>7</v>
      </c>
      <c r="Q55" s="478">
        <f t="shared" si="43"/>
        <v>9</v>
      </c>
      <c r="R55" s="476">
        <f t="shared" si="43"/>
        <v>12</v>
      </c>
      <c r="S55" s="477">
        <f t="shared" si="43"/>
        <v>10</v>
      </c>
      <c r="T55" s="477">
        <f t="shared" si="43"/>
        <v>2</v>
      </c>
      <c r="U55" s="477">
        <f t="shared" si="43"/>
        <v>22</v>
      </c>
      <c r="V55" s="477">
        <f t="shared" si="43"/>
        <v>11</v>
      </c>
      <c r="W55" s="478">
        <f t="shared" si="43"/>
        <v>4</v>
      </c>
      <c r="X55" s="479">
        <f t="shared" si="43"/>
        <v>17</v>
      </c>
      <c r="Y55" s="477">
        <f t="shared" si="43"/>
        <v>14</v>
      </c>
      <c r="Z55" s="477">
        <f t="shared" si="43"/>
        <v>3</v>
      </c>
      <c r="AA55" s="477">
        <f t="shared" si="43"/>
        <v>18</v>
      </c>
      <c r="AB55" s="477">
        <f t="shared" si="43"/>
        <v>28</v>
      </c>
      <c r="AC55" s="480">
        <f t="shared" si="43"/>
        <v>13</v>
      </c>
      <c r="AD55" s="476">
        <f t="shared" si="43"/>
        <v>1</v>
      </c>
      <c r="AE55" s="477">
        <f t="shared" si="43"/>
        <v>4</v>
      </c>
      <c r="AF55" s="477">
        <f t="shared" si="43"/>
        <v>0</v>
      </c>
      <c r="AG55" s="477">
        <f t="shared" si="43"/>
        <v>1</v>
      </c>
      <c r="AH55" s="477">
        <f t="shared" si="43"/>
        <v>0</v>
      </c>
      <c r="AI55" s="478">
        <f t="shared" si="43"/>
        <v>0</v>
      </c>
      <c r="AJ55" s="479">
        <f t="shared" si="43"/>
        <v>0</v>
      </c>
      <c r="AK55" s="477">
        <f t="shared" si="43"/>
        <v>0</v>
      </c>
      <c r="AL55" s="477">
        <f t="shared" si="43"/>
        <v>1</v>
      </c>
      <c r="AM55" s="477">
        <f t="shared" si="43"/>
        <v>0</v>
      </c>
      <c r="AN55" s="477">
        <f t="shared" si="43"/>
        <v>0</v>
      </c>
      <c r="AO55" s="480">
        <f t="shared" si="43"/>
        <v>0</v>
      </c>
      <c r="AP55" s="479">
        <f t="shared" si="43"/>
        <v>0</v>
      </c>
      <c r="AQ55" s="477">
        <f t="shared" si="43"/>
        <v>0</v>
      </c>
      <c r="AR55" s="477">
        <f t="shared" ref="AR55:BM55" si="44">SUM(AR14:AR54)</f>
        <v>1</v>
      </c>
      <c r="AS55" s="477">
        <f t="shared" si="44"/>
        <v>1</v>
      </c>
      <c r="AT55" s="477">
        <f t="shared" si="44"/>
        <v>0</v>
      </c>
      <c r="AU55" s="480">
        <f t="shared" si="44"/>
        <v>0</v>
      </c>
      <c r="AV55" s="479">
        <f t="shared" si="44"/>
        <v>0</v>
      </c>
      <c r="AW55" s="477">
        <f t="shared" si="44"/>
        <v>0</v>
      </c>
      <c r="AX55" s="477">
        <f t="shared" si="44"/>
        <v>0</v>
      </c>
      <c r="AY55" s="477">
        <f t="shared" si="44"/>
        <v>1</v>
      </c>
      <c r="AZ55" s="477">
        <f t="shared" si="44"/>
        <v>0</v>
      </c>
      <c r="BA55" s="480">
        <f t="shared" si="44"/>
        <v>0</v>
      </c>
      <c r="BB55" s="479">
        <f t="shared" si="44"/>
        <v>1</v>
      </c>
      <c r="BC55" s="477">
        <f t="shared" si="44"/>
        <v>0</v>
      </c>
      <c r="BD55" s="477">
        <f t="shared" si="44"/>
        <v>3</v>
      </c>
      <c r="BE55" s="477">
        <f t="shared" si="44"/>
        <v>3</v>
      </c>
      <c r="BF55" s="477">
        <f t="shared" si="44"/>
        <v>3</v>
      </c>
      <c r="BG55" s="480">
        <f t="shared" si="44"/>
        <v>0</v>
      </c>
      <c r="BH55" s="479">
        <f t="shared" si="44"/>
        <v>0</v>
      </c>
      <c r="BI55" s="477">
        <f t="shared" si="44"/>
        <v>2</v>
      </c>
      <c r="BJ55" s="477">
        <f t="shared" si="44"/>
        <v>2</v>
      </c>
      <c r="BK55" s="477">
        <f t="shared" si="44"/>
        <v>3</v>
      </c>
      <c r="BL55" s="477">
        <f t="shared" si="44"/>
        <v>1</v>
      </c>
      <c r="BM55" s="481">
        <f t="shared" si="44"/>
        <v>0</v>
      </c>
    </row>
    <row r="56" spans="3:65">
      <c r="C56" s="394"/>
      <c r="D56" s="483"/>
      <c r="E56" s="483"/>
      <c r="F56" s="483"/>
      <c r="G56" s="568"/>
      <c r="H56" s="484"/>
      <c r="I56" s="394"/>
      <c r="J56" s="485"/>
      <c r="K56" s="394"/>
      <c r="L56" s="394"/>
      <c r="M56" s="394"/>
      <c r="N56" s="486"/>
      <c r="O56" s="394"/>
      <c r="P56" s="394"/>
      <c r="Q56" s="487"/>
      <c r="R56" s="487"/>
      <c r="S56" s="487"/>
      <c r="T56" s="487"/>
      <c r="U56" s="484"/>
      <c r="V56" s="484"/>
      <c r="W56" s="488"/>
      <c r="X56" s="489"/>
      <c r="Y56" s="490"/>
      <c r="Z56" s="394"/>
      <c r="AA56" s="394"/>
      <c r="AB56" s="394"/>
      <c r="AC56" s="394"/>
      <c r="AD56" s="394"/>
      <c r="AE56" s="394"/>
      <c r="AF56" s="394"/>
      <c r="AG56" s="394"/>
      <c r="AH56" s="394"/>
      <c r="AI56" s="394"/>
      <c r="AJ56" s="394"/>
      <c r="AK56" s="394"/>
      <c r="AL56" s="394"/>
      <c r="AM56" s="394"/>
      <c r="AN56" s="394"/>
      <c r="AO56" s="394"/>
      <c r="AP56" s="394"/>
      <c r="AQ56" s="394"/>
      <c r="AR56" s="394"/>
      <c r="AS56" s="394"/>
      <c r="AT56" s="394"/>
      <c r="AU56" s="394"/>
      <c r="AV56" s="394"/>
      <c r="AW56" s="394"/>
      <c r="AX56" s="394"/>
      <c r="AY56" s="394"/>
      <c r="AZ56" s="394"/>
      <c r="BA56" s="394"/>
      <c r="BB56" s="394"/>
      <c r="BC56" s="394"/>
      <c r="BD56" s="394"/>
      <c r="BE56" s="394"/>
      <c r="BF56" s="394"/>
      <c r="BG56" s="394"/>
      <c r="BH56" s="394"/>
      <c r="BI56" s="394"/>
      <c r="BJ56" s="394"/>
      <c r="BK56" s="394"/>
      <c r="BL56" s="394"/>
      <c r="BM56" s="394"/>
    </row>
    <row r="57" spans="3:65">
      <c r="C57" s="384"/>
      <c r="G57" s="569"/>
      <c r="H57" s="384"/>
      <c r="I57" s="384"/>
      <c r="J57" s="492"/>
      <c r="K57" s="384"/>
      <c r="L57" s="384"/>
      <c r="M57" s="384"/>
      <c r="N57" s="384"/>
      <c r="O57" s="384"/>
      <c r="P57" s="384"/>
      <c r="Q57" s="384"/>
      <c r="R57" s="384"/>
      <c r="S57" s="384"/>
      <c r="T57" s="384"/>
      <c r="U57" s="384"/>
      <c r="V57" s="384"/>
      <c r="W57" s="384"/>
      <c r="X57" s="384"/>
      <c r="Y57" s="384"/>
    </row>
    <row r="58" spans="3:65">
      <c r="C58" s="384"/>
      <c r="G58" s="569"/>
      <c r="H58" s="384"/>
      <c r="I58" s="384"/>
      <c r="J58" s="492"/>
      <c r="K58" s="384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4"/>
      <c r="Y58" s="384"/>
    </row>
    <row r="59" spans="3:65">
      <c r="C59" s="384"/>
      <c r="G59" s="569"/>
      <c r="H59" s="384"/>
      <c r="I59" s="384"/>
      <c r="J59" s="492"/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</row>
    <row r="60" spans="3:65">
      <c r="C60" s="384"/>
      <c r="G60" s="569"/>
      <c r="H60" s="384"/>
      <c r="I60" s="384"/>
      <c r="J60" s="492"/>
      <c r="K60" s="384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</row>
    <row r="61" spans="3:65">
      <c r="C61" s="384"/>
      <c r="G61" s="569"/>
      <c r="H61" s="384"/>
      <c r="I61" s="384"/>
      <c r="J61" s="492"/>
      <c r="K61" s="384"/>
      <c r="L61" s="384"/>
      <c r="M61" s="384"/>
      <c r="N61" s="384"/>
      <c r="O61" s="384"/>
      <c r="P61" s="384"/>
      <c r="Q61" s="384"/>
      <c r="R61" s="384"/>
      <c r="S61" s="384"/>
      <c r="T61" s="384"/>
      <c r="U61" s="384"/>
      <c r="V61" s="384"/>
      <c r="W61" s="384"/>
      <c r="X61" s="384"/>
      <c r="Y61" s="384"/>
    </row>
    <row r="62" spans="3:65">
      <c r="C62" s="384"/>
      <c r="G62" s="569"/>
      <c r="H62" s="384"/>
      <c r="I62" s="384"/>
      <c r="J62" s="492"/>
      <c r="K62" s="384"/>
      <c r="L62" s="384"/>
      <c r="M62" s="384"/>
      <c r="N62" s="384"/>
      <c r="O62" s="384"/>
      <c r="P62" s="384"/>
      <c r="Q62" s="384"/>
      <c r="R62" s="384"/>
      <c r="S62" s="384"/>
      <c r="T62" s="384"/>
      <c r="U62" s="384"/>
      <c r="V62" s="384"/>
      <c r="W62" s="384"/>
      <c r="X62" s="384"/>
      <c r="Y62" s="384"/>
    </row>
    <row r="63" spans="3:65">
      <c r="C63" s="384"/>
      <c r="G63" s="569"/>
      <c r="H63" s="384"/>
      <c r="I63" s="384"/>
      <c r="J63" s="492"/>
      <c r="K63" s="384"/>
      <c r="L63" s="384"/>
      <c r="M63" s="384"/>
      <c r="N63" s="384"/>
      <c r="O63" s="384"/>
      <c r="P63" s="384"/>
      <c r="Q63" s="384"/>
      <c r="R63" s="384"/>
      <c r="S63" s="384"/>
      <c r="T63" s="384"/>
      <c r="U63" s="384"/>
      <c r="V63" s="384"/>
      <c r="W63" s="384"/>
      <c r="X63" s="384"/>
      <c r="Y63" s="384"/>
    </row>
    <row r="64" spans="3:65">
      <c r="C64" s="384"/>
      <c r="G64" s="569"/>
      <c r="H64" s="384"/>
      <c r="I64" s="384"/>
      <c r="J64" s="492"/>
      <c r="K64" s="384"/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  <c r="X64" s="384"/>
      <c r="Y64" s="384"/>
    </row>
    <row r="65" spans="3:25">
      <c r="C65" s="384"/>
      <c r="G65" s="569"/>
      <c r="H65" s="384"/>
      <c r="I65" s="384"/>
      <c r="J65" s="492"/>
      <c r="K65" s="384"/>
      <c r="L65" s="384"/>
      <c r="M65" s="384"/>
      <c r="N65" s="384"/>
      <c r="O65" s="384"/>
      <c r="P65" s="384"/>
      <c r="Q65" s="384"/>
      <c r="R65" s="384"/>
      <c r="S65" s="384"/>
      <c r="T65" s="384"/>
      <c r="U65" s="384"/>
      <c r="V65" s="384"/>
      <c r="W65" s="384"/>
      <c r="X65" s="384"/>
      <c r="Y65" s="384"/>
    </row>
    <row r="66" spans="3:25">
      <c r="C66" s="384"/>
      <c r="G66" s="569"/>
      <c r="H66" s="384"/>
      <c r="I66" s="384"/>
      <c r="J66" s="492"/>
      <c r="K66" s="384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4"/>
      <c r="Y66" s="384"/>
    </row>
    <row r="67" spans="3:25">
      <c r="C67" s="384"/>
      <c r="G67" s="569"/>
      <c r="H67" s="384"/>
      <c r="I67" s="384"/>
      <c r="J67" s="492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</row>
    <row r="68" spans="3:25">
      <c r="C68" s="384"/>
      <c r="G68" s="569"/>
      <c r="H68" s="384"/>
      <c r="I68" s="384"/>
      <c r="J68" s="492"/>
      <c r="K68" s="384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4"/>
      <c r="Y68" s="384"/>
    </row>
    <row r="69" spans="3:25">
      <c r="C69" s="384"/>
      <c r="G69" s="569"/>
      <c r="H69" s="384"/>
      <c r="I69" s="384"/>
      <c r="J69" s="492"/>
      <c r="K69" s="384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</row>
    <row r="70" spans="3:25">
      <c r="C70" s="384"/>
      <c r="G70" s="569"/>
      <c r="H70" s="384"/>
      <c r="I70" s="384"/>
      <c r="J70" s="492"/>
      <c r="K70" s="384"/>
      <c r="L70" s="384"/>
      <c r="M70" s="384"/>
      <c r="N70" s="384"/>
      <c r="O70" s="384"/>
      <c r="P70" s="384"/>
      <c r="Q70" s="384"/>
      <c r="R70" s="384"/>
      <c r="S70" s="384"/>
      <c r="T70" s="384"/>
      <c r="U70" s="384"/>
      <c r="V70" s="384"/>
      <c r="W70" s="384"/>
      <c r="X70" s="384"/>
      <c r="Y70" s="384"/>
    </row>
    <row r="71" spans="3:25">
      <c r="C71" s="384"/>
      <c r="G71" s="569"/>
      <c r="H71" s="384"/>
      <c r="I71" s="384"/>
      <c r="J71" s="492"/>
      <c r="K71" s="384"/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  <c r="X71" s="384"/>
      <c r="Y71" s="384"/>
    </row>
    <row r="72" spans="3:25">
      <c r="C72" s="384"/>
      <c r="G72" s="569"/>
      <c r="H72" s="384"/>
      <c r="I72" s="384"/>
      <c r="J72" s="492"/>
      <c r="K72" s="384"/>
      <c r="L72" s="384"/>
      <c r="M72" s="384"/>
      <c r="N72" s="384"/>
      <c r="O72" s="384"/>
      <c r="P72" s="384"/>
      <c r="Q72" s="384"/>
      <c r="R72" s="384"/>
      <c r="S72" s="384"/>
      <c r="T72" s="384"/>
      <c r="U72" s="384"/>
      <c r="V72" s="384"/>
      <c r="W72" s="384"/>
      <c r="X72" s="384"/>
      <c r="Y72" s="384"/>
    </row>
    <row r="73" spans="3:25">
      <c r="C73" s="384"/>
      <c r="G73" s="569"/>
      <c r="H73" s="384"/>
      <c r="I73" s="384"/>
      <c r="J73" s="492"/>
      <c r="K73" s="384"/>
      <c r="L73" s="384"/>
      <c r="M73" s="384"/>
      <c r="N73" s="384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</row>
    <row r="74" spans="3:25">
      <c r="C74" s="384"/>
      <c r="G74" s="569"/>
      <c r="H74" s="384"/>
      <c r="I74" s="384"/>
      <c r="J74" s="492"/>
      <c r="K74" s="384"/>
      <c r="L74" s="384"/>
      <c r="M74" s="384"/>
      <c r="N74" s="384"/>
      <c r="O74" s="384"/>
      <c r="P74" s="384"/>
      <c r="Q74" s="384"/>
      <c r="R74" s="384"/>
      <c r="S74" s="384"/>
      <c r="T74" s="384"/>
      <c r="U74" s="384"/>
      <c r="V74" s="384"/>
      <c r="W74" s="384"/>
      <c r="X74" s="384"/>
      <c r="Y74" s="384"/>
    </row>
    <row r="75" spans="3:25">
      <c r="C75" s="384"/>
      <c r="G75" s="569"/>
      <c r="H75" s="384"/>
      <c r="I75" s="384"/>
      <c r="J75" s="492"/>
      <c r="K75" s="384"/>
      <c r="L75" s="384"/>
      <c r="M75" s="384"/>
      <c r="N75" s="384"/>
      <c r="O75" s="384"/>
      <c r="P75" s="384"/>
      <c r="Q75" s="384"/>
      <c r="R75" s="384"/>
      <c r="S75" s="384"/>
      <c r="T75" s="384"/>
      <c r="U75" s="384"/>
      <c r="V75" s="384"/>
      <c r="W75" s="384"/>
      <c r="X75" s="384"/>
      <c r="Y75" s="384"/>
    </row>
    <row r="76" spans="3:25">
      <c r="C76" s="384"/>
      <c r="G76" s="569"/>
      <c r="H76" s="384"/>
      <c r="I76" s="384"/>
      <c r="J76" s="492"/>
      <c r="K76" s="384"/>
      <c r="L76" s="384"/>
      <c r="M76" s="384"/>
      <c r="N76" s="384"/>
      <c r="O76" s="384"/>
      <c r="P76" s="384"/>
      <c r="Q76" s="384"/>
      <c r="R76" s="384"/>
      <c r="S76" s="384"/>
      <c r="T76" s="384"/>
      <c r="U76" s="384"/>
      <c r="V76" s="384"/>
      <c r="W76" s="384"/>
      <c r="X76" s="384"/>
      <c r="Y76" s="384"/>
    </row>
    <row r="77" spans="3:25">
      <c r="C77" s="384"/>
      <c r="G77" s="569"/>
      <c r="H77" s="384"/>
      <c r="I77" s="384"/>
      <c r="J77" s="492"/>
      <c r="K77" s="384"/>
      <c r="L77" s="384"/>
      <c r="M77" s="384"/>
      <c r="N77" s="384"/>
      <c r="O77" s="384"/>
      <c r="P77" s="384"/>
      <c r="Q77" s="384"/>
      <c r="R77" s="384"/>
      <c r="S77" s="384"/>
      <c r="T77" s="384"/>
      <c r="U77" s="384"/>
      <c r="V77" s="384"/>
      <c r="W77" s="384"/>
      <c r="X77" s="384"/>
      <c r="Y77" s="384"/>
    </row>
    <row r="78" spans="3:25">
      <c r="C78" s="384"/>
      <c r="G78" s="569"/>
      <c r="H78" s="384"/>
      <c r="I78" s="384"/>
      <c r="J78" s="492"/>
      <c r="K78" s="384"/>
      <c r="L78" s="384"/>
      <c r="M78" s="384"/>
      <c r="N78" s="384"/>
      <c r="O78" s="384"/>
      <c r="P78" s="384"/>
      <c r="Q78" s="384"/>
      <c r="R78" s="384"/>
      <c r="S78" s="384"/>
      <c r="T78" s="384"/>
      <c r="U78" s="384"/>
      <c r="V78" s="384"/>
      <c r="W78" s="384"/>
      <c r="X78" s="384"/>
      <c r="Y78" s="384"/>
    </row>
    <row r="79" spans="3:25">
      <c r="C79" s="384"/>
      <c r="G79" s="569"/>
      <c r="H79" s="384"/>
      <c r="I79" s="384"/>
      <c r="J79" s="492"/>
      <c r="K79" s="384"/>
      <c r="L79" s="384"/>
      <c r="M79" s="384"/>
      <c r="N79" s="384"/>
      <c r="O79" s="384"/>
      <c r="P79" s="384"/>
      <c r="Q79" s="384"/>
      <c r="R79" s="384"/>
      <c r="S79" s="384"/>
      <c r="T79" s="384"/>
      <c r="U79" s="384"/>
      <c r="V79" s="384"/>
      <c r="W79" s="384"/>
      <c r="X79" s="384"/>
      <c r="Y79" s="384"/>
    </row>
    <row r="80" spans="3:25">
      <c r="C80" s="384"/>
      <c r="G80" s="569"/>
      <c r="H80" s="384"/>
      <c r="I80" s="384"/>
      <c r="J80" s="492"/>
      <c r="K80" s="384"/>
      <c r="L80" s="384"/>
      <c r="M80" s="384"/>
      <c r="N80" s="384"/>
      <c r="O80" s="384"/>
      <c r="P80" s="384"/>
      <c r="Q80" s="384"/>
      <c r="R80" s="384"/>
      <c r="S80" s="384"/>
      <c r="T80" s="384"/>
      <c r="U80" s="384"/>
      <c r="V80" s="384"/>
      <c r="W80" s="384"/>
      <c r="X80" s="384"/>
      <c r="Y80" s="384"/>
    </row>
    <row r="81" spans="3:25">
      <c r="C81" s="384"/>
      <c r="G81" s="569"/>
      <c r="H81" s="384"/>
      <c r="I81" s="384"/>
      <c r="J81" s="492"/>
      <c r="K81" s="384"/>
      <c r="L81" s="384"/>
      <c r="M81" s="384"/>
      <c r="N81" s="384"/>
      <c r="O81" s="384"/>
      <c r="P81" s="384"/>
      <c r="Q81" s="384"/>
      <c r="R81" s="384"/>
      <c r="S81" s="384"/>
      <c r="T81" s="384"/>
      <c r="U81" s="384"/>
      <c r="V81" s="384"/>
      <c r="W81" s="384"/>
      <c r="X81" s="384"/>
      <c r="Y81" s="384"/>
    </row>
    <row r="82" spans="3:25">
      <c r="C82" s="384"/>
      <c r="G82" s="569"/>
      <c r="H82" s="384"/>
      <c r="I82" s="384"/>
      <c r="J82" s="492"/>
      <c r="K82" s="384"/>
      <c r="L82" s="384"/>
      <c r="M82" s="384"/>
      <c r="N82" s="384"/>
      <c r="O82" s="384"/>
      <c r="P82" s="384"/>
      <c r="Q82" s="384"/>
      <c r="R82" s="384"/>
      <c r="S82" s="384"/>
      <c r="T82" s="384"/>
      <c r="U82" s="384"/>
      <c r="V82" s="384"/>
      <c r="W82" s="384"/>
      <c r="X82" s="384"/>
      <c r="Y82" s="384"/>
    </row>
    <row r="83" spans="3:25">
      <c r="C83" s="384"/>
      <c r="G83" s="569"/>
      <c r="H83" s="384"/>
      <c r="I83" s="384"/>
      <c r="J83" s="492"/>
      <c r="K83" s="384"/>
      <c r="L83" s="384"/>
      <c r="M83" s="384"/>
      <c r="N83" s="384"/>
      <c r="O83" s="384"/>
      <c r="P83" s="384"/>
      <c r="Q83" s="384"/>
      <c r="R83" s="384"/>
      <c r="S83" s="384"/>
      <c r="T83" s="384"/>
      <c r="U83" s="384"/>
      <c r="V83" s="384"/>
      <c r="W83" s="384"/>
      <c r="X83" s="384"/>
      <c r="Y83" s="384"/>
    </row>
    <row r="84" spans="3:25">
      <c r="C84" s="384"/>
      <c r="G84" s="569"/>
      <c r="H84" s="384"/>
      <c r="I84" s="384"/>
      <c r="J84" s="492"/>
      <c r="K84" s="384"/>
      <c r="L84" s="384"/>
      <c r="M84" s="384"/>
      <c r="N84" s="384"/>
      <c r="O84" s="384"/>
      <c r="P84" s="384"/>
      <c r="Q84" s="384"/>
      <c r="R84" s="384"/>
      <c r="S84" s="384"/>
      <c r="T84" s="384"/>
      <c r="U84" s="384"/>
      <c r="V84" s="384"/>
      <c r="W84" s="384"/>
      <c r="X84" s="384"/>
      <c r="Y84" s="384"/>
    </row>
    <row r="85" spans="3:25">
      <c r="C85" s="384"/>
      <c r="G85" s="569"/>
      <c r="H85" s="384"/>
      <c r="I85" s="384"/>
      <c r="J85" s="492"/>
      <c r="K85" s="384"/>
      <c r="L85" s="384"/>
      <c r="M85" s="384"/>
      <c r="N85" s="384"/>
      <c r="O85" s="384"/>
      <c r="P85" s="384"/>
      <c r="Q85" s="384"/>
      <c r="R85" s="384"/>
      <c r="S85" s="384"/>
      <c r="T85" s="384"/>
      <c r="U85" s="384"/>
      <c r="V85" s="384"/>
      <c r="W85" s="384"/>
      <c r="X85" s="384"/>
      <c r="Y85" s="384"/>
    </row>
    <row r="86" spans="3:25">
      <c r="C86" s="384"/>
      <c r="G86" s="569"/>
      <c r="H86" s="384"/>
      <c r="I86" s="384"/>
      <c r="J86" s="492"/>
      <c r="K86" s="384"/>
      <c r="L86" s="384"/>
      <c r="M86" s="384"/>
      <c r="N86" s="384"/>
      <c r="O86" s="384"/>
      <c r="P86" s="384"/>
      <c r="Q86" s="384"/>
      <c r="R86" s="384"/>
      <c r="S86" s="384"/>
      <c r="T86" s="384"/>
      <c r="U86" s="384"/>
      <c r="V86" s="384"/>
      <c r="W86" s="384"/>
      <c r="X86" s="384"/>
      <c r="Y86" s="384"/>
    </row>
    <row r="87" spans="3:25">
      <c r="C87" s="384"/>
      <c r="G87" s="569"/>
      <c r="H87" s="384"/>
      <c r="I87" s="384"/>
      <c r="J87" s="492"/>
      <c r="K87" s="384"/>
      <c r="L87" s="384"/>
      <c r="M87" s="384"/>
      <c r="N87" s="384"/>
      <c r="O87" s="384"/>
      <c r="P87" s="384"/>
      <c r="Q87" s="384"/>
      <c r="R87" s="384"/>
      <c r="S87" s="384"/>
      <c r="T87" s="384"/>
      <c r="U87" s="384"/>
      <c r="V87" s="384"/>
      <c r="W87" s="384"/>
      <c r="X87" s="384"/>
      <c r="Y87" s="384"/>
    </row>
    <row r="88" spans="3:25">
      <c r="C88" s="384"/>
      <c r="G88" s="569"/>
      <c r="H88" s="384"/>
      <c r="I88" s="384"/>
      <c r="J88" s="492"/>
      <c r="K88" s="384"/>
      <c r="L88" s="384"/>
      <c r="M88" s="384"/>
      <c r="N88" s="384"/>
      <c r="O88" s="384"/>
      <c r="P88" s="384"/>
      <c r="Q88" s="384"/>
      <c r="R88" s="384"/>
      <c r="S88" s="384"/>
      <c r="T88" s="384"/>
      <c r="U88" s="384"/>
      <c r="V88" s="384"/>
      <c r="W88" s="384"/>
      <c r="X88" s="384"/>
      <c r="Y88" s="384"/>
    </row>
    <row r="89" spans="3:25">
      <c r="C89" s="384"/>
      <c r="G89" s="569"/>
      <c r="H89" s="384"/>
      <c r="I89" s="384"/>
      <c r="J89" s="492"/>
      <c r="K89" s="384"/>
      <c r="L89" s="384"/>
      <c r="M89" s="384"/>
      <c r="N89" s="384"/>
      <c r="O89" s="384"/>
      <c r="P89" s="384"/>
      <c r="Q89" s="384"/>
      <c r="R89" s="384"/>
      <c r="S89" s="384"/>
      <c r="T89" s="384"/>
      <c r="U89" s="384"/>
      <c r="V89" s="384"/>
      <c r="W89" s="384"/>
      <c r="X89" s="384"/>
      <c r="Y89" s="384"/>
    </row>
    <row r="90" spans="3:25">
      <c r="C90" s="384"/>
      <c r="G90" s="569"/>
      <c r="H90" s="384"/>
      <c r="I90" s="384"/>
      <c r="J90" s="492"/>
      <c r="K90" s="384"/>
      <c r="L90" s="384"/>
      <c r="M90" s="384"/>
      <c r="N90" s="384"/>
      <c r="O90" s="384"/>
      <c r="P90" s="384"/>
      <c r="Q90" s="384"/>
      <c r="R90" s="384"/>
      <c r="S90" s="384"/>
      <c r="T90" s="384"/>
      <c r="U90" s="384"/>
      <c r="V90" s="384"/>
      <c r="W90" s="384"/>
      <c r="X90" s="384"/>
      <c r="Y90" s="384"/>
    </row>
    <row r="91" spans="3:25">
      <c r="C91" s="384"/>
      <c r="G91" s="569"/>
      <c r="H91" s="384"/>
      <c r="I91" s="384"/>
      <c r="J91" s="492"/>
      <c r="K91" s="384"/>
      <c r="L91" s="384"/>
      <c r="M91" s="384"/>
      <c r="N91" s="384"/>
      <c r="O91" s="384"/>
      <c r="P91" s="384"/>
      <c r="Q91" s="384"/>
      <c r="R91" s="384"/>
      <c r="S91" s="384"/>
      <c r="T91" s="384"/>
      <c r="U91" s="384"/>
      <c r="V91" s="384"/>
      <c r="W91" s="384"/>
      <c r="X91" s="384"/>
      <c r="Y91" s="384"/>
    </row>
    <row r="92" spans="3:25">
      <c r="C92" s="384"/>
      <c r="G92" s="569"/>
      <c r="H92" s="384"/>
      <c r="I92" s="384"/>
      <c r="J92" s="492"/>
      <c r="K92" s="384"/>
      <c r="L92" s="384"/>
      <c r="M92" s="384"/>
      <c r="N92" s="384"/>
      <c r="O92" s="384"/>
      <c r="P92" s="384"/>
      <c r="Q92" s="384"/>
      <c r="R92" s="384"/>
      <c r="S92" s="384"/>
      <c r="T92" s="384"/>
      <c r="U92" s="384"/>
      <c r="V92" s="384"/>
      <c r="W92" s="384"/>
      <c r="X92" s="384"/>
      <c r="Y92" s="384"/>
    </row>
    <row r="93" spans="3:25">
      <c r="C93" s="384"/>
      <c r="G93" s="569"/>
      <c r="H93" s="384"/>
      <c r="I93" s="384"/>
      <c r="J93" s="492"/>
      <c r="K93" s="384"/>
      <c r="L93" s="384"/>
      <c r="M93" s="384"/>
      <c r="N93" s="384"/>
      <c r="O93" s="384"/>
      <c r="P93" s="384"/>
      <c r="Q93" s="384"/>
      <c r="R93" s="384"/>
      <c r="S93" s="384"/>
      <c r="T93" s="384"/>
      <c r="U93" s="384"/>
      <c r="V93" s="384"/>
      <c r="W93" s="384"/>
      <c r="X93" s="384"/>
      <c r="Y93" s="384"/>
    </row>
    <row r="94" spans="3:25">
      <c r="C94" s="384"/>
      <c r="G94" s="569"/>
      <c r="H94" s="384"/>
      <c r="I94" s="384"/>
      <c r="J94" s="492"/>
      <c r="K94" s="384"/>
      <c r="L94" s="384"/>
      <c r="M94" s="384"/>
      <c r="N94" s="384"/>
      <c r="O94" s="384"/>
      <c r="P94" s="384"/>
      <c r="Q94" s="384"/>
      <c r="R94" s="384"/>
      <c r="S94" s="384"/>
      <c r="T94" s="384"/>
      <c r="U94" s="384"/>
      <c r="V94" s="384"/>
      <c r="W94" s="384"/>
      <c r="X94" s="384"/>
      <c r="Y94" s="384"/>
    </row>
    <row r="95" spans="3:25">
      <c r="C95" s="384"/>
      <c r="G95" s="569"/>
      <c r="H95" s="384"/>
      <c r="I95" s="384"/>
      <c r="J95" s="492"/>
      <c r="K95" s="384"/>
      <c r="L95" s="384"/>
      <c r="M95" s="384"/>
      <c r="N95" s="384"/>
      <c r="O95" s="384"/>
      <c r="P95" s="384"/>
      <c r="Q95" s="384"/>
      <c r="R95" s="384"/>
      <c r="S95" s="384"/>
      <c r="T95" s="384"/>
      <c r="U95" s="384"/>
      <c r="V95" s="384"/>
      <c r="W95" s="384"/>
      <c r="X95" s="384"/>
      <c r="Y95" s="384"/>
    </row>
    <row r="96" spans="3:25">
      <c r="C96" s="384"/>
      <c r="G96" s="569"/>
      <c r="H96" s="384"/>
      <c r="I96" s="384"/>
      <c r="J96" s="492"/>
      <c r="K96" s="384"/>
      <c r="L96" s="384"/>
      <c r="M96" s="384"/>
      <c r="N96" s="384"/>
      <c r="O96" s="384"/>
      <c r="P96" s="384"/>
      <c r="Q96" s="384"/>
      <c r="R96" s="384"/>
      <c r="S96" s="384"/>
      <c r="T96" s="384"/>
      <c r="U96" s="384"/>
      <c r="V96" s="384"/>
      <c r="W96" s="384"/>
      <c r="X96" s="384"/>
      <c r="Y96" s="384"/>
    </row>
    <row r="97" spans="3:25">
      <c r="C97" s="384"/>
      <c r="G97" s="569"/>
      <c r="H97" s="384"/>
      <c r="I97" s="384"/>
      <c r="J97" s="492"/>
      <c r="K97" s="384"/>
      <c r="L97" s="384"/>
      <c r="M97" s="384"/>
      <c r="N97" s="384"/>
      <c r="O97" s="384"/>
      <c r="P97" s="384"/>
      <c r="Q97" s="384"/>
      <c r="R97" s="384"/>
      <c r="S97" s="384"/>
      <c r="T97" s="384"/>
      <c r="U97" s="384"/>
      <c r="V97" s="384"/>
      <c r="W97" s="384"/>
      <c r="X97" s="384"/>
      <c r="Y97" s="384"/>
    </row>
    <row r="98" spans="3:25">
      <c r="C98" s="384"/>
      <c r="G98" s="569"/>
      <c r="H98" s="384"/>
      <c r="I98" s="384"/>
      <c r="J98" s="492"/>
      <c r="K98" s="384"/>
      <c r="L98" s="384"/>
      <c r="M98" s="384"/>
      <c r="N98" s="384"/>
      <c r="O98" s="384"/>
      <c r="P98" s="384"/>
      <c r="Q98" s="384"/>
      <c r="R98" s="384"/>
      <c r="S98" s="384"/>
      <c r="T98" s="384"/>
      <c r="U98" s="384"/>
      <c r="V98" s="384"/>
      <c r="W98" s="384"/>
      <c r="X98" s="384"/>
      <c r="Y98" s="384"/>
    </row>
    <row r="99" spans="3:25">
      <c r="C99" s="384"/>
      <c r="G99" s="569"/>
      <c r="H99" s="384"/>
      <c r="I99" s="384"/>
      <c r="J99" s="492"/>
      <c r="K99" s="384"/>
      <c r="L99" s="384"/>
      <c r="M99" s="384"/>
      <c r="N99" s="384"/>
      <c r="O99" s="384"/>
      <c r="P99" s="384"/>
      <c r="Q99" s="384"/>
      <c r="R99" s="384"/>
      <c r="S99" s="384"/>
      <c r="T99" s="384"/>
      <c r="U99" s="384"/>
      <c r="V99" s="384"/>
      <c r="W99" s="384"/>
      <c r="X99" s="384"/>
      <c r="Y99" s="384"/>
    </row>
    <row r="100" spans="3:25">
      <c r="C100" s="384"/>
      <c r="G100" s="569"/>
      <c r="H100" s="384"/>
      <c r="I100" s="384"/>
      <c r="J100" s="492"/>
      <c r="K100" s="384"/>
      <c r="L100" s="384"/>
      <c r="M100" s="384"/>
      <c r="N100" s="384"/>
      <c r="O100" s="384"/>
      <c r="P100" s="384"/>
      <c r="Q100" s="384"/>
      <c r="R100" s="384"/>
      <c r="S100" s="384"/>
      <c r="T100" s="384"/>
      <c r="U100" s="384"/>
      <c r="V100" s="384"/>
      <c r="W100" s="384"/>
      <c r="X100" s="384"/>
      <c r="Y100" s="384"/>
    </row>
    <row r="101" spans="3:25">
      <c r="C101" s="384"/>
      <c r="G101" s="569"/>
      <c r="H101" s="384"/>
      <c r="I101" s="384"/>
      <c r="J101" s="492"/>
      <c r="K101" s="384"/>
      <c r="L101" s="384"/>
      <c r="M101" s="384"/>
      <c r="N101" s="384"/>
      <c r="O101" s="384"/>
      <c r="P101" s="384"/>
      <c r="Q101" s="384"/>
      <c r="R101" s="384"/>
      <c r="S101" s="384"/>
      <c r="T101" s="384"/>
      <c r="U101" s="384"/>
      <c r="V101" s="384"/>
      <c r="W101" s="384"/>
      <c r="X101" s="384"/>
      <c r="Y101" s="384"/>
    </row>
    <row r="102" spans="3:25">
      <c r="C102" s="384"/>
      <c r="G102" s="569"/>
      <c r="H102" s="384"/>
      <c r="I102" s="384"/>
      <c r="J102" s="492"/>
      <c r="K102" s="384"/>
      <c r="L102" s="384"/>
      <c r="M102" s="384"/>
      <c r="N102" s="384"/>
      <c r="O102" s="384"/>
      <c r="P102" s="384"/>
      <c r="Q102" s="384"/>
      <c r="R102" s="384"/>
      <c r="S102" s="384"/>
      <c r="T102" s="384"/>
      <c r="U102" s="384"/>
      <c r="V102" s="384"/>
      <c r="W102" s="384"/>
      <c r="X102" s="384"/>
      <c r="Y102" s="384"/>
    </row>
    <row r="103" spans="3:25">
      <c r="C103" s="384"/>
      <c r="G103" s="569"/>
      <c r="H103" s="384"/>
      <c r="I103" s="384"/>
      <c r="J103" s="492"/>
      <c r="K103" s="384"/>
      <c r="L103" s="384"/>
      <c r="M103" s="384"/>
      <c r="N103" s="384"/>
      <c r="O103" s="384"/>
      <c r="P103" s="384"/>
      <c r="Q103" s="384"/>
      <c r="R103" s="384"/>
      <c r="S103" s="384"/>
      <c r="T103" s="384"/>
      <c r="U103" s="384"/>
      <c r="V103" s="384"/>
      <c r="W103" s="384"/>
      <c r="X103" s="384"/>
      <c r="Y103" s="384"/>
    </row>
    <row r="104" spans="3:25">
      <c r="C104" s="384" t="s">
        <v>1096</v>
      </c>
      <c r="G104" s="569"/>
      <c r="H104" s="384"/>
      <c r="I104" s="384"/>
      <c r="J104" s="492"/>
      <c r="K104" s="384"/>
      <c r="L104" s="384"/>
      <c r="M104" s="384"/>
      <c r="N104" s="384"/>
      <c r="O104" s="384"/>
      <c r="P104" s="384"/>
      <c r="Q104" s="384"/>
      <c r="R104" s="384"/>
      <c r="S104" s="384"/>
      <c r="T104" s="384"/>
      <c r="U104" s="384"/>
      <c r="V104" s="384"/>
      <c r="W104" s="384"/>
      <c r="X104" s="384"/>
      <c r="Y104" s="384"/>
    </row>
    <row r="105" spans="3:25">
      <c r="C105" s="384" t="s">
        <v>1097</v>
      </c>
      <c r="G105" s="569"/>
      <c r="H105" s="384"/>
      <c r="I105" s="384"/>
      <c r="J105" s="492"/>
      <c r="K105" s="384"/>
      <c r="L105" s="384"/>
      <c r="M105" s="384"/>
      <c r="N105" s="384"/>
      <c r="O105" s="384"/>
      <c r="P105" s="384"/>
      <c r="Q105" s="384"/>
      <c r="R105" s="384"/>
      <c r="S105" s="384"/>
      <c r="T105" s="384"/>
      <c r="U105" s="384"/>
      <c r="V105" s="384"/>
      <c r="W105" s="384"/>
      <c r="X105" s="384"/>
      <c r="Y105" s="384"/>
    </row>
    <row r="106" spans="3:25">
      <c r="C106" s="384" t="s">
        <v>1099</v>
      </c>
      <c r="G106" s="569"/>
      <c r="H106" s="384"/>
      <c r="I106" s="384"/>
      <c r="J106" s="492"/>
      <c r="K106" s="384"/>
      <c r="L106" s="384"/>
      <c r="M106" s="384"/>
      <c r="N106" s="384"/>
      <c r="O106" s="384"/>
      <c r="P106" s="384"/>
      <c r="Q106" s="384"/>
      <c r="R106" s="384"/>
      <c r="S106" s="384"/>
      <c r="T106" s="384"/>
      <c r="U106" s="384"/>
      <c r="V106" s="384"/>
      <c r="W106" s="384"/>
      <c r="X106" s="384"/>
      <c r="Y106" s="384"/>
    </row>
    <row r="107" spans="3:25">
      <c r="C107" s="384" t="s">
        <v>1089</v>
      </c>
      <c r="G107" s="569"/>
      <c r="H107" s="384"/>
      <c r="I107" s="384"/>
      <c r="J107" s="492"/>
      <c r="K107" s="384"/>
      <c r="L107" s="384"/>
      <c r="M107" s="384"/>
      <c r="N107" s="384"/>
      <c r="O107" s="384"/>
      <c r="P107" s="384"/>
      <c r="Q107" s="384"/>
      <c r="R107" s="384"/>
      <c r="S107" s="384"/>
      <c r="T107" s="384"/>
      <c r="U107" s="384"/>
      <c r="V107" s="384"/>
      <c r="W107" s="384"/>
      <c r="X107" s="384"/>
      <c r="Y107" s="384"/>
    </row>
    <row r="108" spans="3:25">
      <c r="C108" s="384" t="s">
        <v>1090</v>
      </c>
      <c r="G108" s="569"/>
      <c r="H108" s="384"/>
      <c r="I108" s="384"/>
      <c r="J108" s="492"/>
      <c r="K108" s="384"/>
      <c r="L108" s="384"/>
      <c r="M108" s="384"/>
      <c r="N108" s="384"/>
      <c r="O108" s="384"/>
      <c r="P108" s="384"/>
      <c r="Q108" s="384"/>
      <c r="R108" s="384"/>
      <c r="S108" s="384"/>
      <c r="T108" s="384"/>
      <c r="U108" s="384"/>
      <c r="V108" s="384"/>
      <c r="W108" s="384"/>
      <c r="X108" s="384"/>
      <c r="Y108" s="384"/>
    </row>
    <row r="109" spans="3:25">
      <c r="C109" s="384" t="s">
        <v>1091</v>
      </c>
      <c r="G109" s="569"/>
      <c r="H109" s="384"/>
      <c r="I109" s="384"/>
      <c r="J109" s="492"/>
      <c r="K109" s="384"/>
      <c r="L109" s="384"/>
      <c r="M109" s="384"/>
      <c r="N109" s="384"/>
      <c r="O109" s="384"/>
      <c r="P109" s="384"/>
      <c r="Q109" s="384"/>
      <c r="R109" s="384"/>
      <c r="S109" s="384"/>
      <c r="T109" s="384"/>
      <c r="U109" s="384"/>
      <c r="V109" s="384"/>
      <c r="W109" s="384"/>
      <c r="X109" s="384"/>
      <c r="Y109" s="384"/>
    </row>
    <row r="110" spans="3:25">
      <c r="C110" s="384"/>
      <c r="G110" s="569"/>
      <c r="H110" s="384"/>
      <c r="I110" s="384"/>
      <c r="J110" s="492"/>
      <c r="K110" s="384"/>
      <c r="L110" s="384"/>
      <c r="M110" s="384"/>
      <c r="N110" s="384"/>
      <c r="O110" s="384"/>
      <c r="P110" s="384"/>
      <c r="Q110" s="384"/>
      <c r="R110" s="384"/>
      <c r="S110" s="384"/>
      <c r="T110" s="384"/>
      <c r="U110" s="384"/>
      <c r="V110" s="384"/>
      <c r="W110" s="384"/>
      <c r="X110" s="384"/>
      <c r="Y110" s="384"/>
    </row>
    <row r="111" spans="3:25">
      <c r="G111" s="569"/>
      <c r="H111" s="384"/>
      <c r="I111" s="384"/>
      <c r="J111" s="492"/>
      <c r="K111" s="384"/>
      <c r="L111" s="384"/>
      <c r="M111" s="384"/>
      <c r="N111" s="384"/>
      <c r="O111" s="384"/>
      <c r="P111" s="384"/>
      <c r="Q111" s="384"/>
      <c r="R111" s="384"/>
      <c r="S111" s="384"/>
      <c r="T111" s="384"/>
      <c r="U111" s="384"/>
      <c r="V111" s="384"/>
      <c r="W111" s="384"/>
      <c r="X111" s="384"/>
      <c r="Y111" s="384"/>
    </row>
    <row r="112" spans="3:25">
      <c r="G112" s="569"/>
      <c r="H112" s="384"/>
      <c r="I112" s="384"/>
      <c r="J112" s="492"/>
      <c r="K112" s="384"/>
      <c r="L112" s="384"/>
      <c r="M112" s="384"/>
      <c r="N112" s="384"/>
      <c r="O112" s="384"/>
      <c r="P112" s="384"/>
      <c r="Q112" s="384"/>
      <c r="R112" s="384"/>
      <c r="S112" s="384"/>
      <c r="T112" s="384"/>
      <c r="U112" s="384"/>
      <c r="V112" s="384"/>
      <c r="W112" s="384"/>
      <c r="X112" s="384"/>
      <c r="Y112" s="384"/>
    </row>
    <row r="113" spans="7:25">
      <c r="G113" s="569"/>
      <c r="H113" s="384"/>
      <c r="I113" s="384"/>
      <c r="J113" s="492"/>
      <c r="K113" s="384"/>
      <c r="L113" s="384"/>
      <c r="M113" s="384"/>
      <c r="N113" s="384"/>
      <c r="O113" s="384"/>
      <c r="P113" s="384"/>
      <c r="Q113" s="384"/>
      <c r="R113" s="384"/>
      <c r="S113" s="384"/>
      <c r="T113" s="384"/>
      <c r="U113" s="384"/>
      <c r="V113" s="384"/>
      <c r="W113" s="384"/>
      <c r="X113" s="384"/>
      <c r="Y113" s="384"/>
    </row>
    <row r="114" spans="7:25">
      <c r="G114" s="569"/>
      <c r="H114" s="384"/>
      <c r="I114" s="384"/>
      <c r="J114" s="492"/>
      <c r="K114" s="384"/>
      <c r="L114" s="384"/>
      <c r="M114" s="384"/>
      <c r="N114" s="384"/>
      <c r="O114" s="384"/>
      <c r="P114" s="384"/>
      <c r="Q114" s="384"/>
      <c r="R114" s="384"/>
      <c r="S114" s="384"/>
      <c r="T114" s="384"/>
      <c r="U114" s="384"/>
      <c r="V114" s="384"/>
      <c r="W114" s="384"/>
      <c r="X114" s="384"/>
      <c r="Y114" s="384"/>
    </row>
    <row r="115" spans="7:25">
      <c r="G115" s="569"/>
      <c r="H115" s="384"/>
      <c r="I115" s="384"/>
      <c r="J115" s="492"/>
      <c r="K115" s="384"/>
      <c r="L115" s="384"/>
      <c r="M115" s="384"/>
      <c r="N115" s="384"/>
      <c r="O115" s="384"/>
      <c r="P115" s="384"/>
      <c r="Q115" s="384"/>
      <c r="R115" s="384"/>
      <c r="S115" s="384"/>
      <c r="T115" s="384"/>
      <c r="U115" s="384"/>
      <c r="V115" s="384"/>
      <c r="W115" s="384"/>
      <c r="X115" s="384"/>
      <c r="Y115" s="384"/>
    </row>
    <row r="116" spans="7:25">
      <c r="G116" s="569"/>
      <c r="H116" s="384"/>
      <c r="I116" s="384"/>
      <c r="J116" s="492"/>
      <c r="K116" s="384"/>
      <c r="L116" s="384"/>
      <c r="M116" s="384"/>
      <c r="N116" s="384"/>
      <c r="O116" s="384"/>
      <c r="P116" s="384"/>
      <c r="Q116" s="384"/>
      <c r="R116" s="384"/>
      <c r="S116" s="384"/>
      <c r="T116" s="384"/>
      <c r="U116" s="384"/>
      <c r="V116" s="384"/>
      <c r="W116" s="384"/>
      <c r="X116" s="384"/>
      <c r="Y116" s="384"/>
    </row>
    <row r="117" spans="7:25">
      <c r="G117" s="569"/>
      <c r="H117" s="384"/>
      <c r="I117" s="384"/>
      <c r="J117" s="492"/>
      <c r="K117" s="384"/>
      <c r="L117" s="384"/>
      <c r="M117" s="384"/>
      <c r="N117" s="384"/>
      <c r="O117" s="384"/>
      <c r="P117" s="384"/>
      <c r="Q117" s="384"/>
      <c r="R117" s="384"/>
      <c r="S117" s="384"/>
      <c r="T117" s="384"/>
      <c r="U117" s="384"/>
      <c r="V117" s="384"/>
      <c r="W117" s="384"/>
      <c r="X117" s="384"/>
      <c r="Y117" s="384"/>
    </row>
    <row r="118" spans="7:25">
      <c r="G118" s="569"/>
      <c r="H118" s="384"/>
      <c r="I118" s="384"/>
      <c r="J118" s="492"/>
      <c r="K118" s="384"/>
      <c r="L118" s="384"/>
      <c r="M118" s="384"/>
      <c r="N118" s="384"/>
      <c r="O118" s="384"/>
      <c r="P118" s="384"/>
      <c r="Q118" s="384"/>
      <c r="R118" s="384"/>
      <c r="S118" s="384"/>
      <c r="T118" s="384"/>
      <c r="U118" s="384"/>
      <c r="V118" s="384"/>
      <c r="W118" s="384"/>
      <c r="X118" s="384"/>
      <c r="Y118" s="384"/>
    </row>
    <row r="119" spans="7:25">
      <c r="G119" s="569"/>
      <c r="H119" s="384"/>
      <c r="I119" s="384"/>
      <c r="J119" s="492"/>
      <c r="K119" s="384"/>
      <c r="L119" s="384"/>
      <c r="M119" s="384"/>
      <c r="N119" s="384"/>
      <c r="O119" s="384"/>
      <c r="P119" s="384"/>
      <c r="Q119" s="384"/>
      <c r="R119" s="384"/>
      <c r="S119" s="384"/>
      <c r="T119" s="384"/>
      <c r="U119" s="384"/>
      <c r="V119" s="384"/>
      <c r="W119" s="384"/>
      <c r="X119" s="384"/>
      <c r="Y119" s="384"/>
    </row>
    <row r="120" spans="7:25">
      <c r="G120" s="569"/>
      <c r="H120" s="384"/>
      <c r="I120" s="384"/>
      <c r="J120" s="492"/>
      <c r="K120" s="384"/>
      <c r="L120" s="384"/>
      <c r="M120" s="384"/>
      <c r="N120" s="384"/>
      <c r="O120" s="384"/>
      <c r="P120" s="384"/>
      <c r="Q120" s="384"/>
      <c r="R120" s="384"/>
      <c r="S120" s="384"/>
      <c r="T120" s="384"/>
      <c r="U120" s="384"/>
      <c r="V120" s="384"/>
      <c r="W120" s="384"/>
      <c r="X120" s="384"/>
      <c r="Y120" s="384"/>
    </row>
    <row r="121" spans="7:25">
      <c r="G121" s="569"/>
      <c r="H121" s="384"/>
      <c r="I121" s="384"/>
      <c r="J121" s="492"/>
      <c r="K121" s="384"/>
      <c r="L121" s="384"/>
      <c r="M121" s="384"/>
      <c r="N121" s="384"/>
      <c r="O121" s="384"/>
      <c r="P121" s="384"/>
      <c r="Q121" s="384"/>
      <c r="R121" s="384"/>
      <c r="S121" s="384"/>
      <c r="T121" s="384"/>
      <c r="U121" s="384"/>
      <c r="V121" s="384"/>
      <c r="W121" s="384"/>
      <c r="X121" s="384"/>
      <c r="Y121" s="384"/>
    </row>
    <row r="122" spans="7:25">
      <c r="G122" s="569"/>
      <c r="H122" s="384"/>
      <c r="I122" s="384"/>
      <c r="J122" s="492"/>
      <c r="K122" s="384"/>
      <c r="L122" s="384"/>
      <c r="M122" s="384"/>
      <c r="N122" s="384"/>
      <c r="O122" s="384"/>
      <c r="P122" s="384"/>
      <c r="Q122" s="384"/>
      <c r="R122" s="384"/>
      <c r="S122" s="384"/>
      <c r="T122" s="384"/>
      <c r="U122" s="384"/>
      <c r="V122" s="384"/>
      <c r="W122" s="384"/>
      <c r="X122" s="384"/>
      <c r="Y122" s="384"/>
    </row>
    <row r="123" spans="7:25">
      <c r="G123" s="569"/>
      <c r="H123" s="384"/>
      <c r="I123" s="384"/>
      <c r="J123" s="492"/>
      <c r="K123" s="384"/>
      <c r="L123" s="384"/>
      <c r="M123" s="384"/>
      <c r="N123" s="384"/>
      <c r="O123" s="384"/>
      <c r="P123" s="384"/>
      <c r="Q123" s="384"/>
      <c r="R123" s="384"/>
      <c r="S123" s="384"/>
      <c r="T123" s="384"/>
      <c r="U123" s="384"/>
      <c r="V123" s="384"/>
      <c r="W123" s="384"/>
      <c r="X123" s="384"/>
      <c r="Y123" s="384"/>
    </row>
    <row r="124" spans="7:25">
      <c r="G124" s="569"/>
      <c r="H124" s="384"/>
      <c r="I124" s="384"/>
      <c r="J124" s="492"/>
      <c r="K124" s="384"/>
      <c r="L124" s="384"/>
      <c r="M124" s="384"/>
      <c r="N124" s="384"/>
      <c r="O124" s="384"/>
      <c r="P124" s="384"/>
      <c r="Q124" s="384"/>
      <c r="R124" s="384"/>
      <c r="S124" s="384"/>
      <c r="T124" s="384"/>
      <c r="U124" s="384"/>
      <c r="V124" s="384"/>
      <c r="W124" s="384"/>
      <c r="X124" s="384"/>
      <c r="Y124" s="384"/>
    </row>
    <row r="125" spans="7:25">
      <c r="G125" s="569"/>
      <c r="H125" s="384"/>
      <c r="I125" s="384"/>
      <c r="J125" s="492"/>
      <c r="K125" s="384"/>
      <c r="L125" s="384"/>
      <c r="M125" s="384"/>
      <c r="N125" s="384"/>
      <c r="O125" s="384"/>
      <c r="P125" s="384"/>
      <c r="Q125" s="384"/>
      <c r="R125" s="384"/>
      <c r="S125" s="384"/>
      <c r="T125" s="384"/>
      <c r="U125" s="384"/>
      <c r="V125" s="384"/>
      <c r="W125" s="384"/>
      <c r="X125" s="384"/>
      <c r="Y125" s="384"/>
    </row>
    <row r="126" spans="7:25">
      <c r="G126" s="569"/>
      <c r="H126" s="384"/>
      <c r="I126" s="384"/>
      <c r="J126" s="492"/>
      <c r="K126" s="384"/>
      <c r="L126" s="384"/>
      <c r="M126" s="384"/>
      <c r="N126" s="384"/>
      <c r="O126" s="384"/>
      <c r="P126" s="384"/>
      <c r="Q126" s="384"/>
      <c r="R126" s="384"/>
      <c r="S126" s="384"/>
      <c r="T126" s="384"/>
      <c r="U126" s="384"/>
      <c r="V126" s="384"/>
      <c r="W126" s="384"/>
      <c r="X126" s="384"/>
      <c r="Y126" s="384"/>
    </row>
  </sheetData>
  <mergeCells count="13">
    <mergeCell ref="AP9:AU9"/>
    <mergeCell ref="BB9:BG9"/>
    <mergeCell ref="BH9:BM9"/>
    <mergeCell ref="C3:BM4"/>
    <mergeCell ref="C9:C11"/>
    <mergeCell ref="D9:F11"/>
    <mergeCell ref="G9:J9"/>
    <mergeCell ref="L9:Q9"/>
    <mergeCell ref="R9:W9"/>
    <mergeCell ref="X9:AC9"/>
    <mergeCell ref="AD9:AI9"/>
    <mergeCell ref="AJ9:AO9"/>
    <mergeCell ref="AV9:BA9"/>
  </mergeCells>
  <conditionalFormatting sqref="T13:Y13 L12:AO12 BH12:BM12">
    <cfRule type="containsText" dxfId="7" priority="7" stopIfTrue="1" operator="containsText" text="0">
      <formula>NOT(ISERROR(SEARCH("0",L12)))</formula>
    </cfRule>
    <cfRule type="containsText" dxfId="6" priority="8" stopIfTrue="1" operator="containsText" text="1">
      <formula>NOT(ISERROR(SEARCH("1",L12)))</formula>
    </cfRule>
  </conditionalFormatting>
  <conditionalFormatting sqref="AP12:AU12">
    <cfRule type="containsText" dxfId="5" priority="5" stopIfTrue="1" operator="containsText" text="0">
      <formula>NOT(ISERROR(SEARCH("0",AP12)))</formula>
    </cfRule>
    <cfRule type="containsText" dxfId="4" priority="6" stopIfTrue="1" operator="containsText" text="1">
      <formula>NOT(ISERROR(SEARCH("1",AP12)))</formula>
    </cfRule>
  </conditionalFormatting>
  <conditionalFormatting sqref="AV12:BA12">
    <cfRule type="containsText" dxfId="3" priority="3" stopIfTrue="1" operator="containsText" text="0">
      <formula>NOT(ISERROR(SEARCH("0",AV12)))</formula>
    </cfRule>
    <cfRule type="containsText" dxfId="2" priority="4" stopIfTrue="1" operator="containsText" text="1">
      <formula>NOT(ISERROR(SEARCH("1",AV12)))</formula>
    </cfRule>
  </conditionalFormatting>
  <conditionalFormatting sqref="BB12:BG12">
    <cfRule type="containsText" dxfId="1" priority="1" stopIfTrue="1" operator="containsText" text="0">
      <formula>NOT(ISERROR(SEARCH("0",BB12)))</formula>
    </cfRule>
    <cfRule type="containsText" dxfId="0" priority="2" stopIfTrue="1" operator="containsText" text="1">
      <formula>NOT(ISERROR(SEARCH("1",BB12)))</formula>
    </cfRule>
  </conditionalFormatting>
  <dataValidations count="1">
    <dataValidation type="list" allowBlank="1" showInputMessage="1" showErrorMessage="1" sqref="WWA982907:WWA983029 G12:G54 JO65403:JO65525 TK65403:TK65525 ADG65403:ADG65525 ANC65403:ANC65525 AWY65403:AWY65525 BGU65403:BGU65525 BQQ65403:BQQ65525 CAM65403:CAM65525 CKI65403:CKI65525 CUE65403:CUE65525 DEA65403:DEA65525 DNW65403:DNW65525 DXS65403:DXS65525 EHO65403:EHO65525 ERK65403:ERK65525 FBG65403:FBG65525 FLC65403:FLC65525 FUY65403:FUY65525 GEU65403:GEU65525 GOQ65403:GOQ65525 GYM65403:GYM65525 HII65403:HII65525 HSE65403:HSE65525 ICA65403:ICA65525 ILW65403:ILW65525 IVS65403:IVS65525 JFO65403:JFO65525 JPK65403:JPK65525 JZG65403:JZG65525 KJC65403:KJC65525 KSY65403:KSY65525 LCU65403:LCU65525 LMQ65403:LMQ65525 LWM65403:LWM65525 MGI65403:MGI65525 MQE65403:MQE65525 NAA65403:NAA65525 NJW65403:NJW65525 NTS65403:NTS65525 ODO65403:ODO65525 ONK65403:ONK65525 OXG65403:OXG65525 PHC65403:PHC65525 PQY65403:PQY65525 QAU65403:QAU65525 QKQ65403:QKQ65525 QUM65403:QUM65525 REI65403:REI65525 ROE65403:ROE65525 RYA65403:RYA65525 SHW65403:SHW65525 SRS65403:SRS65525 TBO65403:TBO65525 TLK65403:TLK65525 TVG65403:TVG65525 UFC65403:UFC65525 UOY65403:UOY65525 UYU65403:UYU65525 VIQ65403:VIQ65525 VSM65403:VSM65525 WCI65403:WCI65525 WME65403:WME65525 WWA65403:WWA65525 G130939:G131061 JO130939:JO131061 TK130939:TK131061 ADG130939:ADG131061 ANC130939:ANC131061 AWY130939:AWY131061 BGU130939:BGU131061 BQQ130939:BQQ131061 CAM130939:CAM131061 CKI130939:CKI131061 CUE130939:CUE131061 DEA130939:DEA131061 DNW130939:DNW131061 DXS130939:DXS131061 EHO130939:EHO131061 ERK130939:ERK131061 FBG130939:FBG131061 FLC130939:FLC131061 FUY130939:FUY131061 GEU130939:GEU131061 GOQ130939:GOQ131061 GYM130939:GYM131061 HII130939:HII131061 HSE130939:HSE131061 ICA130939:ICA131061 ILW130939:ILW131061 IVS130939:IVS131061 JFO130939:JFO131061 JPK130939:JPK131061 JZG130939:JZG131061 KJC130939:KJC131061 KSY130939:KSY131061 LCU130939:LCU131061 LMQ130939:LMQ131061 LWM130939:LWM131061 MGI130939:MGI131061 MQE130939:MQE131061 NAA130939:NAA131061 NJW130939:NJW131061 NTS130939:NTS131061 ODO130939:ODO131061 ONK130939:ONK131061 OXG130939:OXG131061 PHC130939:PHC131061 PQY130939:PQY131061 QAU130939:QAU131061 QKQ130939:QKQ131061 QUM130939:QUM131061 REI130939:REI131061 ROE130939:ROE131061 RYA130939:RYA131061 SHW130939:SHW131061 SRS130939:SRS131061 TBO130939:TBO131061 TLK130939:TLK131061 TVG130939:TVG131061 UFC130939:UFC131061 UOY130939:UOY131061 UYU130939:UYU131061 VIQ130939:VIQ131061 VSM130939:VSM131061 WCI130939:WCI131061 WME130939:WME131061 WWA130939:WWA131061 G196475:G196597 JO196475:JO196597 TK196475:TK196597 ADG196475:ADG196597 ANC196475:ANC196597 AWY196475:AWY196597 BGU196475:BGU196597 BQQ196475:BQQ196597 CAM196475:CAM196597 CKI196475:CKI196597 CUE196475:CUE196597 DEA196475:DEA196597 DNW196475:DNW196597 DXS196475:DXS196597 EHO196475:EHO196597 ERK196475:ERK196597 FBG196475:FBG196597 FLC196475:FLC196597 FUY196475:FUY196597 GEU196475:GEU196597 GOQ196475:GOQ196597 GYM196475:GYM196597 HII196475:HII196597 HSE196475:HSE196597 ICA196475:ICA196597 ILW196475:ILW196597 IVS196475:IVS196597 JFO196475:JFO196597 JPK196475:JPK196597 JZG196475:JZG196597 KJC196475:KJC196597 KSY196475:KSY196597 LCU196475:LCU196597 LMQ196475:LMQ196597 LWM196475:LWM196597 MGI196475:MGI196597 MQE196475:MQE196597 NAA196475:NAA196597 NJW196475:NJW196597 NTS196475:NTS196597 ODO196475:ODO196597 ONK196475:ONK196597 OXG196475:OXG196597 PHC196475:PHC196597 PQY196475:PQY196597 QAU196475:QAU196597 QKQ196475:QKQ196597 QUM196475:QUM196597 REI196475:REI196597 ROE196475:ROE196597 RYA196475:RYA196597 SHW196475:SHW196597 SRS196475:SRS196597 TBO196475:TBO196597 TLK196475:TLK196597 TVG196475:TVG196597 UFC196475:UFC196597 UOY196475:UOY196597 UYU196475:UYU196597 VIQ196475:VIQ196597 VSM196475:VSM196597 WCI196475:WCI196597 WME196475:WME196597 WWA196475:WWA196597 G262011:G262133 JO262011:JO262133 TK262011:TK262133 ADG262011:ADG262133 ANC262011:ANC262133 AWY262011:AWY262133 BGU262011:BGU262133 BQQ262011:BQQ262133 CAM262011:CAM262133 CKI262011:CKI262133 CUE262011:CUE262133 DEA262011:DEA262133 DNW262011:DNW262133 DXS262011:DXS262133 EHO262011:EHO262133 ERK262011:ERK262133 FBG262011:FBG262133 FLC262011:FLC262133 FUY262011:FUY262133 GEU262011:GEU262133 GOQ262011:GOQ262133 GYM262011:GYM262133 HII262011:HII262133 HSE262011:HSE262133 ICA262011:ICA262133 ILW262011:ILW262133 IVS262011:IVS262133 JFO262011:JFO262133 JPK262011:JPK262133 JZG262011:JZG262133 KJC262011:KJC262133 KSY262011:KSY262133 LCU262011:LCU262133 LMQ262011:LMQ262133 LWM262011:LWM262133 MGI262011:MGI262133 MQE262011:MQE262133 NAA262011:NAA262133 NJW262011:NJW262133 NTS262011:NTS262133 ODO262011:ODO262133 ONK262011:ONK262133 OXG262011:OXG262133 PHC262011:PHC262133 PQY262011:PQY262133 QAU262011:QAU262133 QKQ262011:QKQ262133 QUM262011:QUM262133 REI262011:REI262133 ROE262011:ROE262133 RYA262011:RYA262133 SHW262011:SHW262133 SRS262011:SRS262133 TBO262011:TBO262133 TLK262011:TLK262133 TVG262011:TVG262133 UFC262011:UFC262133 UOY262011:UOY262133 UYU262011:UYU262133 VIQ262011:VIQ262133 VSM262011:VSM262133 WCI262011:WCI262133 WME262011:WME262133 WWA262011:WWA262133 G327547:G327669 JO327547:JO327669 TK327547:TK327669 ADG327547:ADG327669 ANC327547:ANC327669 AWY327547:AWY327669 BGU327547:BGU327669 BQQ327547:BQQ327669 CAM327547:CAM327669 CKI327547:CKI327669 CUE327547:CUE327669 DEA327547:DEA327669 DNW327547:DNW327669 DXS327547:DXS327669 EHO327547:EHO327669 ERK327547:ERK327669 FBG327547:FBG327669 FLC327547:FLC327669 FUY327547:FUY327669 GEU327547:GEU327669 GOQ327547:GOQ327669 GYM327547:GYM327669 HII327547:HII327669 HSE327547:HSE327669 ICA327547:ICA327669 ILW327547:ILW327669 IVS327547:IVS327669 JFO327547:JFO327669 JPK327547:JPK327669 JZG327547:JZG327669 KJC327547:KJC327669 KSY327547:KSY327669 LCU327547:LCU327669 LMQ327547:LMQ327669 LWM327547:LWM327669 MGI327547:MGI327669 MQE327547:MQE327669 NAA327547:NAA327669 NJW327547:NJW327669 NTS327547:NTS327669 ODO327547:ODO327669 ONK327547:ONK327669 OXG327547:OXG327669 PHC327547:PHC327669 PQY327547:PQY327669 QAU327547:QAU327669 QKQ327547:QKQ327669 QUM327547:QUM327669 REI327547:REI327669 ROE327547:ROE327669 RYA327547:RYA327669 SHW327547:SHW327669 SRS327547:SRS327669 TBO327547:TBO327669 TLK327547:TLK327669 TVG327547:TVG327669 UFC327547:UFC327669 UOY327547:UOY327669 UYU327547:UYU327669 VIQ327547:VIQ327669 VSM327547:VSM327669 WCI327547:WCI327669 WME327547:WME327669 WWA327547:WWA327669 G393083:G393205 JO393083:JO393205 TK393083:TK393205 ADG393083:ADG393205 ANC393083:ANC393205 AWY393083:AWY393205 BGU393083:BGU393205 BQQ393083:BQQ393205 CAM393083:CAM393205 CKI393083:CKI393205 CUE393083:CUE393205 DEA393083:DEA393205 DNW393083:DNW393205 DXS393083:DXS393205 EHO393083:EHO393205 ERK393083:ERK393205 FBG393083:FBG393205 FLC393083:FLC393205 FUY393083:FUY393205 GEU393083:GEU393205 GOQ393083:GOQ393205 GYM393083:GYM393205 HII393083:HII393205 HSE393083:HSE393205 ICA393083:ICA393205 ILW393083:ILW393205 IVS393083:IVS393205 JFO393083:JFO393205 JPK393083:JPK393205 JZG393083:JZG393205 KJC393083:KJC393205 KSY393083:KSY393205 LCU393083:LCU393205 LMQ393083:LMQ393205 LWM393083:LWM393205 MGI393083:MGI393205 MQE393083:MQE393205 NAA393083:NAA393205 NJW393083:NJW393205 NTS393083:NTS393205 ODO393083:ODO393205 ONK393083:ONK393205 OXG393083:OXG393205 PHC393083:PHC393205 PQY393083:PQY393205 QAU393083:QAU393205 QKQ393083:QKQ393205 QUM393083:QUM393205 REI393083:REI393205 ROE393083:ROE393205 RYA393083:RYA393205 SHW393083:SHW393205 SRS393083:SRS393205 TBO393083:TBO393205 TLK393083:TLK393205 TVG393083:TVG393205 UFC393083:UFC393205 UOY393083:UOY393205 UYU393083:UYU393205 VIQ393083:VIQ393205 VSM393083:VSM393205 WCI393083:WCI393205 WME393083:WME393205 WWA393083:WWA393205 G458619:G458741 JO458619:JO458741 TK458619:TK458741 ADG458619:ADG458741 ANC458619:ANC458741 AWY458619:AWY458741 BGU458619:BGU458741 BQQ458619:BQQ458741 CAM458619:CAM458741 CKI458619:CKI458741 CUE458619:CUE458741 DEA458619:DEA458741 DNW458619:DNW458741 DXS458619:DXS458741 EHO458619:EHO458741 ERK458619:ERK458741 FBG458619:FBG458741 FLC458619:FLC458741 FUY458619:FUY458741 GEU458619:GEU458741 GOQ458619:GOQ458741 GYM458619:GYM458741 HII458619:HII458741 HSE458619:HSE458741 ICA458619:ICA458741 ILW458619:ILW458741 IVS458619:IVS458741 JFO458619:JFO458741 JPK458619:JPK458741 JZG458619:JZG458741 KJC458619:KJC458741 KSY458619:KSY458741 LCU458619:LCU458741 LMQ458619:LMQ458741 LWM458619:LWM458741 MGI458619:MGI458741 MQE458619:MQE458741 NAA458619:NAA458741 NJW458619:NJW458741 NTS458619:NTS458741 ODO458619:ODO458741 ONK458619:ONK458741 OXG458619:OXG458741 PHC458619:PHC458741 PQY458619:PQY458741 QAU458619:QAU458741 QKQ458619:QKQ458741 QUM458619:QUM458741 REI458619:REI458741 ROE458619:ROE458741 RYA458619:RYA458741 SHW458619:SHW458741 SRS458619:SRS458741 TBO458619:TBO458741 TLK458619:TLK458741 TVG458619:TVG458741 UFC458619:UFC458741 UOY458619:UOY458741 UYU458619:UYU458741 VIQ458619:VIQ458741 VSM458619:VSM458741 WCI458619:WCI458741 WME458619:WME458741 WWA458619:WWA458741 G524155:G524277 JO524155:JO524277 TK524155:TK524277 ADG524155:ADG524277 ANC524155:ANC524277 AWY524155:AWY524277 BGU524155:BGU524277 BQQ524155:BQQ524277 CAM524155:CAM524277 CKI524155:CKI524277 CUE524155:CUE524277 DEA524155:DEA524277 DNW524155:DNW524277 DXS524155:DXS524277 EHO524155:EHO524277 ERK524155:ERK524277 FBG524155:FBG524277 FLC524155:FLC524277 FUY524155:FUY524277 GEU524155:GEU524277 GOQ524155:GOQ524277 GYM524155:GYM524277 HII524155:HII524277 HSE524155:HSE524277 ICA524155:ICA524277 ILW524155:ILW524277 IVS524155:IVS524277 JFO524155:JFO524277 JPK524155:JPK524277 JZG524155:JZG524277 KJC524155:KJC524277 KSY524155:KSY524277 LCU524155:LCU524277 LMQ524155:LMQ524277 LWM524155:LWM524277 MGI524155:MGI524277 MQE524155:MQE524277 NAA524155:NAA524277 NJW524155:NJW524277 NTS524155:NTS524277 ODO524155:ODO524277 ONK524155:ONK524277 OXG524155:OXG524277 PHC524155:PHC524277 PQY524155:PQY524277 QAU524155:QAU524277 QKQ524155:QKQ524277 QUM524155:QUM524277 REI524155:REI524277 ROE524155:ROE524277 RYA524155:RYA524277 SHW524155:SHW524277 SRS524155:SRS524277 TBO524155:TBO524277 TLK524155:TLK524277 TVG524155:TVG524277 UFC524155:UFC524277 UOY524155:UOY524277 UYU524155:UYU524277 VIQ524155:VIQ524277 VSM524155:VSM524277 WCI524155:WCI524277 WME524155:WME524277 WWA524155:WWA524277 G589691:G589813 JO589691:JO589813 TK589691:TK589813 ADG589691:ADG589813 ANC589691:ANC589813 AWY589691:AWY589813 BGU589691:BGU589813 BQQ589691:BQQ589813 CAM589691:CAM589813 CKI589691:CKI589813 CUE589691:CUE589813 DEA589691:DEA589813 DNW589691:DNW589813 DXS589691:DXS589813 EHO589691:EHO589813 ERK589691:ERK589813 FBG589691:FBG589813 FLC589691:FLC589813 FUY589691:FUY589813 GEU589691:GEU589813 GOQ589691:GOQ589813 GYM589691:GYM589813 HII589691:HII589813 HSE589691:HSE589813 ICA589691:ICA589813 ILW589691:ILW589813 IVS589691:IVS589813 JFO589691:JFO589813 JPK589691:JPK589813 JZG589691:JZG589813 KJC589691:KJC589813 KSY589691:KSY589813 LCU589691:LCU589813 LMQ589691:LMQ589813 LWM589691:LWM589813 MGI589691:MGI589813 MQE589691:MQE589813 NAA589691:NAA589813 NJW589691:NJW589813 NTS589691:NTS589813 ODO589691:ODO589813 ONK589691:ONK589813 OXG589691:OXG589813 PHC589691:PHC589813 PQY589691:PQY589813 QAU589691:QAU589813 QKQ589691:QKQ589813 QUM589691:QUM589813 REI589691:REI589813 ROE589691:ROE589813 RYA589691:RYA589813 SHW589691:SHW589813 SRS589691:SRS589813 TBO589691:TBO589813 TLK589691:TLK589813 TVG589691:TVG589813 UFC589691:UFC589813 UOY589691:UOY589813 UYU589691:UYU589813 VIQ589691:VIQ589813 VSM589691:VSM589813 WCI589691:WCI589813 WME589691:WME589813 WWA589691:WWA589813 G655227:G655349 JO655227:JO655349 TK655227:TK655349 ADG655227:ADG655349 ANC655227:ANC655349 AWY655227:AWY655349 BGU655227:BGU655349 BQQ655227:BQQ655349 CAM655227:CAM655349 CKI655227:CKI655349 CUE655227:CUE655349 DEA655227:DEA655349 DNW655227:DNW655349 DXS655227:DXS655349 EHO655227:EHO655349 ERK655227:ERK655349 FBG655227:FBG655349 FLC655227:FLC655349 FUY655227:FUY655349 GEU655227:GEU655349 GOQ655227:GOQ655349 GYM655227:GYM655349 HII655227:HII655349 HSE655227:HSE655349 ICA655227:ICA655349 ILW655227:ILW655349 IVS655227:IVS655349 JFO655227:JFO655349 JPK655227:JPK655349 JZG655227:JZG655349 KJC655227:KJC655349 KSY655227:KSY655349 LCU655227:LCU655349 LMQ655227:LMQ655349 LWM655227:LWM655349 MGI655227:MGI655349 MQE655227:MQE655349 NAA655227:NAA655349 NJW655227:NJW655349 NTS655227:NTS655349 ODO655227:ODO655349 ONK655227:ONK655349 OXG655227:OXG655349 PHC655227:PHC655349 PQY655227:PQY655349 QAU655227:QAU655349 QKQ655227:QKQ655349 QUM655227:QUM655349 REI655227:REI655349 ROE655227:ROE655349 RYA655227:RYA655349 SHW655227:SHW655349 SRS655227:SRS655349 TBO655227:TBO655349 TLK655227:TLK655349 TVG655227:TVG655349 UFC655227:UFC655349 UOY655227:UOY655349 UYU655227:UYU655349 VIQ655227:VIQ655349 VSM655227:VSM655349 WCI655227:WCI655349 WME655227:WME655349 WWA655227:WWA655349 G720763:G720885 JO720763:JO720885 TK720763:TK720885 ADG720763:ADG720885 ANC720763:ANC720885 AWY720763:AWY720885 BGU720763:BGU720885 BQQ720763:BQQ720885 CAM720763:CAM720885 CKI720763:CKI720885 CUE720763:CUE720885 DEA720763:DEA720885 DNW720763:DNW720885 DXS720763:DXS720885 EHO720763:EHO720885 ERK720763:ERK720885 FBG720763:FBG720885 FLC720763:FLC720885 FUY720763:FUY720885 GEU720763:GEU720885 GOQ720763:GOQ720885 GYM720763:GYM720885 HII720763:HII720885 HSE720763:HSE720885 ICA720763:ICA720885 ILW720763:ILW720885 IVS720763:IVS720885 JFO720763:JFO720885 JPK720763:JPK720885 JZG720763:JZG720885 KJC720763:KJC720885 KSY720763:KSY720885 LCU720763:LCU720885 LMQ720763:LMQ720885 LWM720763:LWM720885 MGI720763:MGI720885 MQE720763:MQE720885 NAA720763:NAA720885 NJW720763:NJW720885 NTS720763:NTS720885 ODO720763:ODO720885 ONK720763:ONK720885 OXG720763:OXG720885 PHC720763:PHC720885 PQY720763:PQY720885 QAU720763:QAU720885 QKQ720763:QKQ720885 QUM720763:QUM720885 REI720763:REI720885 ROE720763:ROE720885 RYA720763:RYA720885 SHW720763:SHW720885 SRS720763:SRS720885 TBO720763:TBO720885 TLK720763:TLK720885 TVG720763:TVG720885 UFC720763:UFC720885 UOY720763:UOY720885 UYU720763:UYU720885 VIQ720763:VIQ720885 VSM720763:VSM720885 WCI720763:WCI720885 WME720763:WME720885 WWA720763:WWA720885 G786299:G786421 JO786299:JO786421 TK786299:TK786421 ADG786299:ADG786421 ANC786299:ANC786421 AWY786299:AWY786421 BGU786299:BGU786421 BQQ786299:BQQ786421 CAM786299:CAM786421 CKI786299:CKI786421 CUE786299:CUE786421 DEA786299:DEA786421 DNW786299:DNW786421 DXS786299:DXS786421 EHO786299:EHO786421 ERK786299:ERK786421 FBG786299:FBG786421 FLC786299:FLC786421 FUY786299:FUY786421 GEU786299:GEU786421 GOQ786299:GOQ786421 GYM786299:GYM786421 HII786299:HII786421 HSE786299:HSE786421 ICA786299:ICA786421 ILW786299:ILW786421 IVS786299:IVS786421 JFO786299:JFO786421 JPK786299:JPK786421 JZG786299:JZG786421 KJC786299:KJC786421 KSY786299:KSY786421 LCU786299:LCU786421 LMQ786299:LMQ786421 LWM786299:LWM786421 MGI786299:MGI786421 MQE786299:MQE786421 NAA786299:NAA786421 NJW786299:NJW786421 NTS786299:NTS786421 ODO786299:ODO786421 ONK786299:ONK786421 OXG786299:OXG786421 PHC786299:PHC786421 PQY786299:PQY786421 QAU786299:QAU786421 QKQ786299:QKQ786421 QUM786299:QUM786421 REI786299:REI786421 ROE786299:ROE786421 RYA786299:RYA786421 SHW786299:SHW786421 SRS786299:SRS786421 TBO786299:TBO786421 TLK786299:TLK786421 TVG786299:TVG786421 UFC786299:UFC786421 UOY786299:UOY786421 UYU786299:UYU786421 VIQ786299:VIQ786421 VSM786299:VSM786421 WCI786299:WCI786421 WME786299:WME786421 WWA786299:WWA786421 G851835:G851957 JO851835:JO851957 TK851835:TK851957 ADG851835:ADG851957 ANC851835:ANC851957 AWY851835:AWY851957 BGU851835:BGU851957 BQQ851835:BQQ851957 CAM851835:CAM851957 CKI851835:CKI851957 CUE851835:CUE851957 DEA851835:DEA851957 DNW851835:DNW851957 DXS851835:DXS851957 EHO851835:EHO851957 ERK851835:ERK851957 FBG851835:FBG851957 FLC851835:FLC851957 FUY851835:FUY851957 GEU851835:GEU851957 GOQ851835:GOQ851957 GYM851835:GYM851957 HII851835:HII851957 HSE851835:HSE851957 ICA851835:ICA851957 ILW851835:ILW851957 IVS851835:IVS851957 JFO851835:JFO851957 JPK851835:JPK851957 JZG851835:JZG851957 KJC851835:KJC851957 KSY851835:KSY851957 LCU851835:LCU851957 LMQ851835:LMQ851957 LWM851835:LWM851957 MGI851835:MGI851957 MQE851835:MQE851957 NAA851835:NAA851957 NJW851835:NJW851957 NTS851835:NTS851957 ODO851835:ODO851957 ONK851835:ONK851957 OXG851835:OXG851957 PHC851835:PHC851957 PQY851835:PQY851957 QAU851835:QAU851957 QKQ851835:QKQ851957 QUM851835:QUM851957 REI851835:REI851957 ROE851835:ROE851957 RYA851835:RYA851957 SHW851835:SHW851957 SRS851835:SRS851957 TBO851835:TBO851957 TLK851835:TLK851957 TVG851835:TVG851957 UFC851835:UFC851957 UOY851835:UOY851957 UYU851835:UYU851957 VIQ851835:VIQ851957 VSM851835:VSM851957 WCI851835:WCI851957 WME851835:WME851957 WWA851835:WWA851957 G917371:G917493 JO917371:JO917493 TK917371:TK917493 ADG917371:ADG917493 ANC917371:ANC917493 AWY917371:AWY917493 BGU917371:BGU917493 BQQ917371:BQQ917493 CAM917371:CAM917493 CKI917371:CKI917493 CUE917371:CUE917493 DEA917371:DEA917493 DNW917371:DNW917493 DXS917371:DXS917493 EHO917371:EHO917493 ERK917371:ERK917493 FBG917371:FBG917493 FLC917371:FLC917493 FUY917371:FUY917493 GEU917371:GEU917493 GOQ917371:GOQ917493 GYM917371:GYM917493 HII917371:HII917493 HSE917371:HSE917493 ICA917371:ICA917493 ILW917371:ILW917493 IVS917371:IVS917493 JFO917371:JFO917493 JPK917371:JPK917493 JZG917371:JZG917493 KJC917371:KJC917493 KSY917371:KSY917493 LCU917371:LCU917493 LMQ917371:LMQ917493 LWM917371:LWM917493 MGI917371:MGI917493 MQE917371:MQE917493 NAA917371:NAA917493 NJW917371:NJW917493 NTS917371:NTS917493 ODO917371:ODO917493 ONK917371:ONK917493 OXG917371:OXG917493 PHC917371:PHC917493 PQY917371:PQY917493 QAU917371:QAU917493 QKQ917371:QKQ917493 QUM917371:QUM917493 REI917371:REI917493 ROE917371:ROE917493 RYA917371:RYA917493 SHW917371:SHW917493 SRS917371:SRS917493 TBO917371:TBO917493 TLK917371:TLK917493 TVG917371:TVG917493 UFC917371:UFC917493 UOY917371:UOY917493 UYU917371:UYU917493 VIQ917371:VIQ917493 VSM917371:VSM917493 WCI917371:WCI917493 WME917371:WME917493 WWA917371:WWA917493 G982907:G983029 JO982907:JO983029 TK982907:TK983029 ADG982907:ADG983029 ANC982907:ANC983029 AWY982907:AWY983029 BGU982907:BGU983029 BQQ982907:BQQ983029 CAM982907:CAM983029 CKI982907:CKI983029 CUE982907:CUE983029 DEA982907:DEA983029 DNW982907:DNW983029 DXS982907:DXS983029 EHO982907:EHO983029 ERK982907:ERK983029 FBG982907:FBG983029 FLC982907:FLC983029 FUY982907:FUY983029 GEU982907:GEU983029 GOQ982907:GOQ983029 GYM982907:GYM983029 HII982907:HII983029 HSE982907:HSE983029 ICA982907:ICA983029 ILW982907:ILW983029 IVS982907:IVS983029 JFO982907:JFO983029 JPK982907:JPK983029 JZG982907:JZG983029 KJC982907:KJC983029 KSY982907:KSY983029 LCU982907:LCU983029 LMQ982907:LMQ983029 LWM982907:LWM983029 MGI982907:MGI983029 MQE982907:MQE983029 NAA982907:NAA983029 NJW982907:NJW983029 NTS982907:NTS983029 ODO982907:ODO983029 ONK982907:ONK983029 OXG982907:OXG983029 PHC982907:PHC983029 PQY982907:PQY983029 QAU982907:QAU983029 QKQ982907:QKQ983029 QUM982907:QUM983029 REI982907:REI983029 ROE982907:ROE983029 RYA982907:RYA983029 SHW982907:SHW983029 SRS982907:SRS983029 TBO982907:TBO983029 TLK982907:TLK983029 TVG982907:TVG983029 UFC982907:UFC983029 UOY982907:UOY983029 UYU982907:UYU983029 VIQ982907:VIQ983029 VSM982907:VSM983029 WCI982907:WCI983029 WME982907:WME983029 G65403:G65525 WWA12:WWA54 WME12:WME54 WCI12:WCI54 VSM12:VSM54 VIQ12:VIQ54 UYU12:UYU54 UOY12:UOY54 UFC12:UFC54 TVG12:TVG54 TLK12:TLK54 TBO12:TBO54 SRS12:SRS54 SHW12:SHW54 RYA12:RYA54 ROE12:ROE54 REI12:REI54 QUM12:QUM54 QKQ12:QKQ54 QAU12:QAU54 PQY12:PQY54 PHC12:PHC54 OXG12:OXG54 ONK12:ONK54 ODO12:ODO54 NTS12:NTS54 NJW12:NJW54 NAA12:NAA54 MQE12:MQE54 MGI12:MGI54 LWM12:LWM54 LMQ12:LMQ54 LCU12:LCU54 KSY12:KSY54 KJC12:KJC54 JZG12:JZG54 JPK12:JPK54 JFO12:JFO54 IVS12:IVS54 ILW12:ILW54 ICA12:ICA54 HSE12:HSE54 HII12:HII54 GYM12:GYM54 GOQ12:GOQ54 GEU12:GEU54 FUY12:FUY54 FLC12:FLC54 FBG12:FBG54 ERK12:ERK54 EHO12:EHO54 DXS12:DXS54 DNW12:DNW54 DEA12:DEA54 CUE12:CUE54 CKI12:CKI54 CAM12:CAM54 BQQ12:BQQ54 BGU12:BGU54 AWY12:AWY54 ANC12:ANC54 ADG12:ADG54 TK12:TK54 JO12:JO54">
      <formula1>$C$104:$C$110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fitToHeight="0" orientation="landscape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1:Y262"/>
  <sheetViews>
    <sheetView showGridLines="0" view="pageBreakPreview" zoomScaleNormal="100" zoomScaleSheetLayoutView="100" workbookViewId="0">
      <selection activeCell="M13" sqref="M13"/>
    </sheetView>
  </sheetViews>
  <sheetFormatPr baseColWidth="10" defaultColWidth="11.44140625" defaultRowHeight="12"/>
  <cols>
    <col min="1" max="1" width="11.44140625" style="312"/>
    <col min="2" max="2" width="1.6640625" style="312" customWidth="1"/>
    <col min="3" max="3" width="14.33203125" style="312" customWidth="1"/>
    <col min="4" max="8" width="14.33203125" style="313" customWidth="1"/>
    <col min="9" max="9" width="14.33203125" style="315" customWidth="1"/>
    <col min="10" max="10" width="1.6640625" style="313" customWidth="1"/>
    <col min="11" max="16384" width="11.44140625" style="312"/>
  </cols>
  <sheetData>
    <row r="1" spans="3:9" ht="12.6" thickBot="1"/>
    <row r="2" spans="3:9" ht="41.25" customHeight="1" thickBot="1">
      <c r="C2" s="773" t="s">
        <v>122</v>
      </c>
      <c r="D2" s="774"/>
      <c r="E2" s="774"/>
      <c r="F2" s="774"/>
      <c r="G2" s="774"/>
      <c r="H2" s="774"/>
      <c r="I2" s="775"/>
    </row>
    <row r="3" spans="3:9" ht="36.75" customHeight="1">
      <c r="C3" s="371" t="s">
        <v>123</v>
      </c>
      <c r="D3" s="776" t="s">
        <v>263</v>
      </c>
      <c r="E3" s="776"/>
      <c r="F3" s="776"/>
      <c r="G3" s="776"/>
      <c r="H3" s="776"/>
      <c r="I3" s="777"/>
    </row>
    <row r="4" spans="3:9" ht="21" customHeight="1">
      <c r="C4" s="13" t="s">
        <v>131</v>
      </c>
      <c r="D4" s="705" t="s">
        <v>264</v>
      </c>
      <c r="E4" s="705"/>
      <c r="F4" s="705"/>
      <c r="G4" s="705"/>
      <c r="H4" s="705"/>
      <c r="I4" s="706"/>
    </row>
    <row r="5" spans="3:9" ht="21" customHeight="1">
      <c r="C5" s="13" t="s">
        <v>125</v>
      </c>
      <c r="D5" s="705" t="s">
        <v>126</v>
      </c>
      <c r="E5" s="705"/>
      <c r="F5" s="705"/>
      <c r="G5" s="705"/>
      <c r="H5" s="705"/>
      <c r="I5" s="706"/>
    </row>
    <row r="6" spans="3:9" ht="21" customHeight="1" thickBot="1">
      <c r="C6" s="14" t="s">
        <v>127</v>
      </c>
      <c r="D6" s="778" t="s">
        <v>265</v>
      </c>
      <c r="E6" s="778"/>
      <c r="F6" s="778"/>
      <c r="G6" s="778"/>
      <c r="H6" s="778"/>
      <c r="I6" s="779"/>
    </row>
    <row r="8" spans="3:9" ht="27" customHeight="1">
      <c r="C8" s="372" t="s">
        <v>328</v>
      </c>
      <c r="D8" s="373"/>
      <c r="E8" s="373"/>
      <c r="F8" s="373"/>
      <c r="G8" s="373"/>
      <c r="H8" s="373"/>
      <c r="I8" s="374"/>
    </row>
    <row r="9" spans="3:9">
      <c r="C9" s="316"/>
      <c r="D9" s="314" t="s">
        <v>329</v>
      </c>
      <c r="E9" s="314">
        <v>2.6</v>
      </c>
      <c r="F9" s="314"/>
      <c r="G9" s="314" t="s">
        <v>330</v>
      </c>
      <c r="H9" s="314">
        <v>0.2</v>
      </c>
    </row>
    <row r="10" spans="3:9">
      <c r="C10" s="316"/>
      <c r="D10" s="314" t="s">
        <v>331</v>
      </c>
      <c r="E10" s="314">
        <v>2</v>
      </c>
      <c r="F10" s="314"/>
      <c r="G10" s="314" t="s">
        <v>332</v>
      </c>
      <c r="H10" s="314">
        <v>0.2</v>
      </c>
    </row>
    <row r="11" spans="3:9">
      <c r="C11" s="316"/>
      <c r="D11" s="314" t="s">
        <v>333</v>
      </c>
      <c r="E11" s="314">
        <v>3.55</v>
      </c>
      <c r="F11" s="314"/>
      <c r="G11" s="314" t="s">
        <v>334</v>
      </c>
      <c r="H11" s="314">
        <v>0.2</v>
      </c>
    </row>
    <row r="12" spans="3:9">
      <c r="C12" s="316"/>
      <c r="D12" s="314" t="s">
        <v>335</v>
      </c>
      <c r="E12" s="314">
        <v>2.9</v>
      </c>
      <c r="F12" s="314"/>
      <c r="G12" s="314"/>
      <c r="H12" s="314"/>
    </row>
    <row r="13" spans="3:9">
      <c r="C13" s="316"/>
    </row>
    <row r="14" spans="3:9">
      <c r="F14" s="313" t="s">
        <v>227</v>
      </c>
      <c r="G14" s="313" t="s">
        <v>336</v>
      </c>
      <c r="H14" s="313" t="s">
        <v>226</v>
      </c>
      <c r="I14" s="313" t="s">
        <v>2</v>
      </c>
    </row>
    <row r="15" spans="3:9">
      <c r="C15" s="317" t="s">
        <v>337</v>
      </c>
      <c r="D15" s="318">
        <f>+E15</f>
        <v>5.2</v>
      </c>
      <c r="E15" s="319">
        <f>+PRODUCT(F15:I15)</f>
        <v>5.2</v>
      </c>
      <c r="F15" s="320">
        <v>1</v>
      </c>
      <c r="G15" s="320">
        <f>+E9</f>
        <v>2.6</v>
      </c>
      <c r="H15" s="320">
        <f>+E10</f>
        <v>2</v>
      </c>
      <c r="I15" s="321"/>
    </row>
    <row r="16" spans="3:9">
      <c r="C16" s="322" t="s">
        <v>338</v>
      </c>
      <c r="D16" s="323">
        <f t="shared" ref="D16" si="0">+E16</f>
        <v>5.2</v>
      </c>
      <c r="E16" s="324">
        <f t="shared" ref="E16:E22" si="1">+PRODUCT(F16:I16)</f>
        <v>5.2</v>
      </c>
      <c r="F16" s="325">
        <f t="shared" ref="F16:H17" si="2">+F15</f>
        <v>1</v>
      </c>
      <c r="G16" s="325">
        <f t="shared" si="2"/>
        <v>2.6</v>
      </c>
      <c r="H16" s="325">
        <f t="shared" si="2"/>
        <v>2</v>
      </c>
      <c r="I16" s="326"/>
    </row>
    <row r="17" spans="3:17">
      <c r="C17" s="322" t="s">
        <v>339</v>
      </c>
      <c r="D17" s="323">
        <f>SUM(E17:E19)</f>
        <v>40.702000000000005</v>
      </c>
      <c r="E17" s="324">
        <f t="shared" si="1"/>
        <v>18.46</v>
      </c>
      <c r="F17" s="325">
        <f t="shared" si="2"/>
        <v>1</v>
      </c>
      <c r="G17" s="325">
        <f t="shared" si="2"/>
        <v>2.6</v>
      </c>
      <c r="H17" s="325">
        <f t="shared" si="2"/>
        <v>2</v>
      </c>
      <c r="I17" s="326">
        <f>+E11</f>
        <v>3.55</v>
      </c>
    </row>
    <row r="18" spans="3:17">
      <c r="C18" s="327" t="s">
        <v>340</v>
      </c>
      <c r="D18" s="324"/>
      <c r="E18" s="324">
        <f t="shared" si="1"/>
        <v>22.152000000000001</v>
      </c>
      <c r="F18" s="325">
        <v>1</v>
      </c>
      <c r="G18" s="325">
        <f>+(G17*2+1.2)+H17*2</f>
        <v>10.4</v>
      </c>
      <c r="H18" s="325">
        <v>0.6</v>
      </c>
      <c r="I18" s="326">
        <f>+I17</f>
        <v>3.55</v>
      </c>
    </row>
    <row r="19" spans="3:17">
      <c r="C19" s="327"/>
      <c r="D19" s="324"/>
      <c r="E19" s="324">
        <f t="shared" si="1"/>
        <v>0.09</v>
      </c>
      <c r="F19" s="325">
        <v>1</v>
      </c>
      <c r="G19" s="325">
        <v>0.3</v>
      </c>
      <c r="H19" s="325">
        <v>0.3</v>
      </c>
      <c r="I19" s="326">
        <v>1</v>
      </c>
    </row>
    <row r="20" spans="3:17">
      <c r="C20" s="322" t="s">
        <v>341</v>
      </c>
      <c r="D20" s="323">
        <f>+E20</f>
        <v>5.2</v>
      </c>
      <c r="E20" s="324">
        <f t="shared" si="1"/>
        <v>5.2</v>
      </c>
      <c r="F20" s="325">
        <f>+F17</f>
        <v>1</v>
      </c>
      <c r="G20" s="325">
        <f>+G17</f>
        <v>2.6</v>
      </c>
      <c r="H20" s="325">
        <f>+H17</f>
        <v>2</v>
      </c>
      <c r="I20" s="326"/>
    </row>
    <row r="21" spans="3:17">
      <c r="C21" s="322" t="s">
        <v>342</v>
      </c>
      <c r="D21" s="323">
        <f t="shared" ref="D21:D57" si="3">+E21</f>
        <v>22.152000000000001</v>
      </c>
      <c r="E21" s="324">
        <f t="shared" si="1"/>
        <v>22.152000000000001</v>
      </c>
      <c r="F21" s="325">
        <f>+E18</f>
        <v>22.152000000000001</v>
      </c>
      <c r="G21" s="325"/>
      <c r="H21" s="325"/>
      <c r="I21" s="326"/>
    </row>
    <row r="22" spans="3:17">
      <c r="C22" s="328" t="s">
        <v>343</v>
      </c>
      <c r="D22" s="329">
        <f t="shared" si="3"/>
        <v>18.550000000000004</v>
      </c>
      <c r="E22" s="330">
        <f t="shared" si="1"/>
        <v>18.550000000000004</v>
      </c>
      <c r="F22" s="331">
        <f>+D17-D21</f>
        <v>18.550000000000004</v>
      </c>
      <c r="G22" s="331"/>
      <c r="H22" s="331"/>
      <c r="I22" s="332"/>
    </row>
    <row r="23" spans="3:17">
      <c r="C23" s="333"/>
      <c r="D23" s="310"/>
      <c r="E23" s="314"/>
      <c r="F23" s="334"/>
      <c r="G23" s="334"/>
      <c r="H23" s="334"/>
      <c r="I23" s="334"/>
    </row>
    <row r="24" spans="3:17">
      <c r="C24" s="335" t="s">
        <v>344</v>
      </c>
      <c r="D24" s="336">
        <f t="shared" si="3"/>
        <v>6.3E-2</v>
      </c>
      <c r="E24" s="337">
        <f t="shared" ref="E24" si="4">+PRODUCT(F24:I24)</f>
        <v>6.3E-2</v>
      </c>
      <c r="F24" s="338">
        <v>1</v>
      </c>
      <c r="G24" s="338">
        <v>0.3</v>
      </c>
      <c r="H24" s="338">
        <v>0.3</v>
      </c>
      <c r="I24" s="339">
        <v>0.7</v>
      </c>
    </row>
    <row r="25" spans="3:17">
      <c r="C25" s="333"/>
      <c r="D25" s="310"/>
      <c r="E25" s="314"/>
      <c r="F25" s="334"/>
      <c r="G25" s="334"/>
      <c r="H25" s="334"/>
      <c r="I25" s="334"/>
    </row>
    <row r="26" spans="3:17">
      <c r="C26" s="335" t="s">
        <v>345</v>
      </c>
      <c r="D26" s="336">
        <f t="shared" si="3"/>
        <v>0.52</v>
      </c>
      <c r="E26" s="337">
        <f t="shared" ref="E26:E30" si="5">+PRODUCT(F26:I26)</f>
        <v>0.52</v>
      </c>
      <c r="F26" s="338">
        <f>+F15</f>
        <v>1</v>
      </c>
      <c r="G26" s="338">
        <f>+G15</f>
        <v>2.6</v>
      </c>
      <c r="H26" s="338">
        <f>+H15</f>
        <v>2</v>
      </c>
      <c r="I26" s="339">
        <v>0.1</v>
      </c>
    </row>
    <row r="27" spans="3:17">
      <c r="C27" s="333"/>
      <c r="D27" s="340"/>
      <c r="F27" s="334"/>
      <c r="G27" s="334"/>
      <c r="H27" s="334"/>
      <c r="I27" s="334"/>
      <c r="K27" s="311" t="s">
        <v>346</v>
      </c>
      <c r="L27" s="309" t="s">
        <v>336</v>
      </c>
      <c r="M27" s="312" t="s">
        <v>347</v>
      </c>
      <c r="N27" s="309" t="s">
        <v>227</v>
      </c>
      <c r="O27" s="309" t="s">
        <v>348</v>
      </c>
      <c r="P27" s="309" t="s">
        <v>349</v>
      </c>
      <c r="Q27" s="309" t="s">
        <v>350</v>
      </c>
    </row>
    <row r="28" spans="3:17">
      <c r="C28" s="317" t="s">
        <v>351</v>
      </c>
      <c r="D28" s="341">
        <f t="shared" si="3"/>
        <v>5.28E-2</v>
      </c>
      <c r="E28" s="319">
        <f t="shared" si="5"/>
        <v>5.28E-2</v>
      </c>
      <c r="F28" s="320">
        <v>1</v>
      </c>
      <c r="G28" s="342">
        <v>0.5</v>
      </c>
      <c r="H28" s="320">
        <v>0.22</v>
      </c>
      <c r="I28" s="321">
        <v>0.48</v>
      </c>
      <c r="K28" s="312" t="s">
        <v>352</v>
      </c>
      <c r="L28" s="312">
        <f>+G28+0.3*2-0.08</f>
        <v>1.02</v>
      </c>
      <c r="M28" s="312">
        <v>2</v>
      </c>
      <c r="N28" s="312">
        <f>ROUND((G28-0.08)/0.15+1,0)</f>
        <v>4</v>
      </c>
      <c r="O28" s="343">
        <v>0.375</v>
      </c>
      <c r="P28" s="312">
        <v>0.56000000000000005</v>
      </c>
      <c r="Q28" s="313">
        <f>+L28*M28*N28*P28</f>
        <v>4.5696000000000003</v>
      </c>
    </row>
    <row r="29" spans="3:17">
      <c r="C29" s="322" t="s">
        <v>353</v>
      </c>
      <c r="D29" s="344">
        <f t="shared" si="3"/>
        <v>0.69119999999999993</v>
      </c>
      <c r="E29" s="324">
        <f t="shared" si="5"/>
        <v>0.69119999999999993</v>
      </c>
      <c r="F29" s="325">
        <v>1</v>
      </c>
      <c r="G29" s="325">
        <f>+G28*2+H28*2</f>
        <v>1.44</v>
      </c>
      <c r="H29" s="325"/>
      <c r="I29" s="326">
        <v>0.48</v>
      </c>
    </row>
    <row r="30" spans="3:17">
      <c r="C30" s="328" t="s">
        <v>354</v>
      </c>
      <c r="D30" s="345">
        <f t="shared" si="3"/>
        <v>4.5696000000000003</v>
      </c>
      <c r="E30" s="330">
        <f t="shared" si="5"/>
        <v>4.5696000000000003</v>
      </c>
      <c r="F30" s="331">
        <f>+Q28</f>
        <v>4.5696000000000003</v>
      </c>
      <c r="G30" s="331"/>
      <c r="H30" s="331"/>
      <c r="I30" s="332"/>
    </row>
    <row r="31" spans="3:17">
      <c r="C31" s="333"/>
      <c r="D31" s="310"/>
      <c r="E31" s="314"/>
      <c r="F31" s="334"/>
      <c r="G31" s="334"/>
      <c r="H31" s="334"/>
      <c r="I31" s="334"/>
      <c r="K31" s="311" t="s">
        <v>355</v>
      </c>
      <c r="L31" s="309" t="s">
        <v>336</v>
      </c>
      <c r="M31" s="312" t="s">
        <v>347</v>
      </c>
      <c r="N31" s="309" t="s">
        <v>227</v>
      </c>
      <c r="O31" s="309" t="s">
        <v>348</v>
      </c>
      <c r="P31" s="309" t="s">
        <v>349</v>
      </c>
      <c r="Q31" s="309" t="s">
        <v>350</v>
      </c>
    </row>
    <row r="32" spans="3:17">
      <c r="C32" s="317" t="s">
        <v>356</v>
      </c>
      <c r="D32" s="341">
        <f t="shared" si="3"/>
        <v>1.04</v>
      </c>
      <c r="E32" s="319">
        <f t="shared" ref="E32:E34" si="6">+PRODUCT(F32:I32)</f>
        <v>1.04</v>
      </c>
      <c r="F32" s="320">
        <v>1</v>
      </c>
      <c r="G32" s="320">
        <f>+E9</f>
        <v>2.6</v>
      </c>
      <c r="H32" s="320">
        <f>+E10</f>
        <v>2</v>
      </c>
      <c r="I32" s="321">
        <f>+H9</f>
        <v>0.2</v>
      </c>
      <c r="K32" s="312" t="s">
        <v>352</v>
      </c>
      <c r="L32" s="312">
        <f>+E9+0.3*2-0.08</f>
        <v>3.12</v>
      </c>
      <c r="M32" s="312">
        <v>2</v>
      </c>
      <c r="N32" s="312">
        <f>ROUND((E10-0.08)/0.25+1,0)</f>
        <v>9</v>
      </c>
      <c r="O32" s="343">
        <v>0.375</v>
      </c>
      <c r="P32" s="312">
        <v>0.56000000000000005</v>
      </c>
      <c r="Q32" s="313">
        <f>+L32*M32*N32*P32</f>
        <v>31.449600000000004</v>
      </c>
    </row>
    <row r="33" spans="3:25">
      <c r="C33" s="322" t="s">
        <v>353</v>
      </c>
      <c r="D33" s="344">
        <f t="shared" si="3"/>
        <v>1.8399999999999999</v>
      </c>
      <c r="E33" s="324">
        <f t="shared" si="6"/>
        <v>1.8399999999999999</v>
      </c>
      <c r="F33" s="325">
        <v>1</v>
      </c>
      <c r="G33" s="325">
        <f>+G32*2+H32*2</f>
        <v>9.1999999999999993</v>
      </c>
      <c r="H33" s="325"/>
      <c r="I33" s="326">
        <f>+I32</f>
        <v>0.2</v>
      </c>
      <c r="K33" s="312" t="s">
        <v>357</v>
      </c>
      <c r="L33" s="312">
        <f>+E10+0.3*2-0.08</f>
        <v>2.52</v>
      </c>
      <c r="M33" s="312">
        <v>2</v>
      </c>
      <c r="N33" s="312">
        <f>ROUND((E9-0.08)/0.25+1,0)</f>
        <v>11</v>
      </c>
      <c r="O33" s="343">
        <v>0.375</v>
      </c>
      <c r="P33" s="312">
        <v>0.56000000000000005</v>
      </c>
      <c r="Q33" s="313">
        <f>+L33*M33*N33*P33</f>
        <v>31.046400000000002</v>
      </c>
    </row>
    <row r="34" spans="3:25">
      <c r="C34" s="328" t="s">
        <v>354</v>
      </c>
      <c r="D34" s="345">
        <f t="shared" si="3"/>
        <v>62.496000000000009</v>
      </c>
      <c r="E34" s="330">
        <f t="shared" si="6"/>
        <v>62.496000000000009</v>
      </c>
      <c r="F34" s="331">
        <f>+Q34</f>
        <v>62.496000000000009</v>
      </c>
      <c r="G34" s="331"/>
      <c r="H34" s="331"/>
      <c r="I34" s="332"/>
      <c r="Q34" s="310">
        <f>SUM(Q32:Q33)</f>
        <v>62.496000000000009</v>
      </c>
    </row>
    <row r="35" spans="3:25">
      <c r="C35" s="333"/>
      <c r="D35" s="310"/>
      <c r="E35" s="314"/>
      <c r="F35" s="334"/>
      <c r="G35" s="334"/>
      <c r="H35" s="334"/>
      <c r="I35" s="334"/>
    </row>
    <row r="36" spans="3:25">
      <c r="C36" s="317" t="s">
        <v>358</v>
      </c>
      <c r="D36" s="341">
        <f t="shared" si="3"/>
        <v>4.8719999999999999</v>
      </c>
      <c r="E36" s="319">
        <f t="shared" ref="E36:E39" si="7">+PRODUCT(F36:I36)</f>
        <v>4.8719999999999999</v>
      </c>
      <c r="F36" s="320">
        <v>1</v>
      </c>
      <c r="G36" s="320">
        <f>+E9*2+(E10-2*H10)*2</f>
        <v>8.4</v>
      </c>
      <c r="H36" s="320">
        <f>+H10</f>
        <v>0.2</v>
      </c>
      <c r="I36" s="321">
        <f>+E12</f>
        <v>2.9</v>
      </c>
      <c r="K36" s="311" t="s">
        <v>359</v>
      </c>
      <c r="L36" s="309" t="s">
        <v>336</v>
      </c>
      <c r="M36" s="312" t="s">
        <v>360</v>
      </c>
      <c r="N36" s="309" t="s">
        <v>227</v>
      </c>
      <c r="O36" s="309" t="s">
        <v>348</v>
      </c>
      <c r="P36" s="309" t="s">
        <v>349</v>
      </c>
      <c r="Q36" s="309" t="s">
        <v>350</v>
      </c>
      <c r="S36" s="311" t="s">
        <v>361</v>
      </c>
      <c r="T36" s="309" t="s">
        <v>336</v>
      </c>
      <c r="U36" s="312" t="s">
        <v>360</v>
      </c>
      <c r="V36" s="309" t="s">
        <v>227</v>
      </c>
      <c r="W36" s="309" t="s">
        <v>348</v>
      </c>
      <c r="X36" s="309" t="s">
        <v>349</v>
      </c>
      <c r="Y36" s="309" t="s">
        <v>350</v>
      </c>
    </row>
    <row r="37" spans="3:25">
      <c r="C37" s="322" t="s">
        <v>353</v>
      </c>
      <c r="D37" s="344">
        <f>+E37+E38</f>
        <v>48.72</v>
      </c>
      <c r="E37" s="324">
        <f t="shared" si="7"/>
        <v>26.679999999999996</v>
      </c>
      <c r="F37" s="325">
        <v>1</v>
      </c>
      <c r="G37" s="325">
        <f>+(E9+E10)*2</f>
        <v>9.1999999999999993</v>
      </c>
      <c r="H37" s="325"/>
      <c r="I37" s="326">
        <f>+I36</f>
        <v>2.9</v>
      </c>
      <c r="K37" s="312" t="s">
        <v>362</v>
      </c>
      <c r="L37" s="312">
        <f>+E9+0.3*2-0.08</f>
        <v>3.12</v>
      </c>
      <c r="M37" s="312">
        <f>2+2</f>
        <v>4</v>
      </c>
      <c r="N37" s="312">
        <f>ROUND((E12-0.08)/0.25+1,0)</f>
        <v>12</v>
      </c>
      <c r="O37" s="343">
        <v>0.375</v>
      </c>
      <c r="P37" s="312">
        <v>0.56000000000000005</v>
      </c>
      <c r="Q37" s="313">
        <f t="shared" ref="Q37:Q38" si="8">+L37*M37*N37*P37</f>
        <v>83.865600000000001</v>
      </c>
      <c r="S37" s="312" t="s">
        <v>362</v>
      </c>
      <c r="T37" s="312">
        <f>+E10+0.3*2-0.08</f>
        <v>2.52</v>
      </c>
      <c r="U37" s="312">
        <f>2+2</f>
        <v>4</v>
      </c>
      <c r="V37" s="312">
        <f>ROUND((E12-0.08)/0.25+1,0)</f>
        <v>12</v>
      </c>
      <c r="W37" s="343">
        <v>0.375</v>
      </c>
      <c r="X37" s="312">
        <v>0.56000000000000005</v>
      </c>
      <c r="Y37" s="313">
        <f t="shared" ref="Y37:Y38" si="9">+T37*U37*V37*X37</f>
        <v>67.737600000000015</v>
      </c>
    </row>
    <row r="38" spans="3:25">
      <c r="C38" s="322"/>
      <c r="D38" s="344"/>
      <c r="E38" s="324">
        <f t="shared" si="7"/>
        <v>22.04</v>
      </c>
      <c r="F38" s="325">
        <v>1</v>
      </c>
      <c r="G38" s="325">
        <f>+(E9-2*H10)*2+(E10-2*H10)*2</f>
        <v>7.6000000000000005</v>
      </c>
      <c r="H38" s="325"/>
      <c r="I38" s="326">
        <f>+I37</f>
        <v>2.9</v>
      </c>
      <c r="K38" s="312" t="s">
        <v>363</v>
      </c>
      <c r="L38" s="312">
        <f>+E12+0.3*2-0.04+H11+H9</f>
        <v>3.8600000000000003</v>
      </c>
      <c r="M38" s="312">
        <f>2+2</f>
        <v>4</v>
      </c>
      <c r="N38" s="312">
        <f>ROUND((E9-0.08)/0.25+1,0)</f>
        <v>11</v>
      </c>
      <c r="O38" s="343">
        <v>0.375</v>
      </c>
      <c r="P38" s="312">
        <v>0.56000000000000005</v>
      </c>
      <c r="Q38" s="313">
        <f t="shared" si="8"/>
        <v>95.110400000000013</v>
      </c>
      <c r="S38" s="312" t="s">
        <v>363</v>
      </c>
      <c r="T38" s="312">
        <f>+E12+0.3*2-0.04+H11+H9</f>
        <v>3.8600000000000003</v>
      </c>
      <c r="U38" s="312">
        <f>2+2</f>
        <v>4</v>
      </c>
      <c r="V38" s="312">
        <f>ROUND((E10-0.08)/0.25+1,0)</f>
        <v>9</v>
      </c>
      <c r="W38" s="343">
        <v>0.375</v>
      </c>
      <c r="X38" s="312">
        <v>0.56000000000000005</v>
      </c>
      <c r="Y38" s="313">
        <f t="shared" si="9"/>
        <v>77.817600000000013</v>
      </c>
    </row>
    <row r="39" spans="3:25">
      <c r="C39" s="328" t="s">
        <v>354</v>
      </c>
      <c r="D39" s="345">
        <f t="shared" si="3"/>
        <v>324.53120000000001</v>
      </c>
      <c r="E39" s="330">
        <f t="shared" si="7"/>
        <v>324.53120000000001</v>
      </c>
      <c r="F39" s="331">
        <f>+Q39+Y39</f>
        <v>324.53120000000001</v>
      </c>
      <c r="G39" s="331"/>
      <c r="H39" s="331"/>
      <c r="I39" s="332"/>
      <c r="Q39" s="310">
        <f>SUM(Q37:Q38)</f>
        <v>178.976</v>
      </c>
      <c r="Y39" s="310">
        <f>SUM(Y37:Y38)</f>
        <v>145.55520000000001</v>
      </c>
    </row>
    <row r="40" spans="3:25">
      <c r="C40" s="346"/>
      <c r="E40" s="314"/>
      <c r="F40" s="334"/>
      <c r="G40" s="334"/>
      <c r="H40" s="334"/>
      <c r="I40" s="334"/>
    </row>
    <row r="41" spans="3:25">
      <c r="C41" s="317" t="s">
        <v>364</v>
      </c>
      <c r="D41" s="341">
        <f>+E41+E42</f>
        <v>0.98345133223538372</v>
      </c>
      <c r="E41" s="319">
        <f t="shared" ref="E41:E47" si="10">+PRODUCT(F41:I41)</f>
        <v>1.04</v>
      </c>
      <c r="F41" s="320">
        <v>1</v>
      </c>
      <c r="G41" s="320">
        <f>+G32</f>
        <v>2.6</v>
      </c>
      <c r="H41" s="320">
        <f>+H32</f>
        <v>2</v>
      </c>
      <c r="I41" s="321">
        <f>+H11</f>
        <v>0.2</v>
      </c>
      <c r="K41" s="311" t="s">
        <v>365</v>
      </c>
      <c r="L41" s="309" t="s">
        <v>336</v>
      </c>
      <c r="M41" s="312" t="s">
        <v>347</v>
      </c>
      <c r="N41" s="309" t="s">
        <v>227</v>
      </c>
      <c r="O41" s="309" t="s">
        <v>348</v>
      </c>
      <c r="P41" s="309" t="s">
        <v>349</v>
      </c>
      <c r="Q41" s="309" t="s">
        <v>350</v>
      </c>
    </row>
    <row r="42" spans="3:25">
      <c r="C42" s="322"/>
      <c r="D42" s="344"/>
      <c r="E42" s="324">
        <f t="shared" si="10"/>
        <v>-5.6548667764616284E-2</v>
      </c>
      <c r="F42" s="325">
        <v>-1</v>
      </c>
      <c r="G42" s="325">
        <f>+PI()*0.3^2</f>
        <v>0.28274333882308139</v>
      </c>
      <c r="H42" s="325"/>
      <c r="I42" s="326">
        <f>+I41</f>
        <v>0.2</v>
      </c>
      <c r="K42" s="312" t="s">
        <v>352</v>
      </c>
      <c r="L42" s="312">
        <f>+E9+0.3*2-0.08</f>
        <v>3.12</v>
      </c>
      <c r="M42" s="312">
        <v>2</v>
      </c>
      <c r="N42" s="312">
        <f>ROUND((E10-0.08)/0.25+1,0)</f>
        <v>9</v>
      </c>
      <c r="O42" s="343">
        <v>0.375</v>
      </c>
      <c r="P42" s="312">
        <v>0.56000000000000005</v>
      </c>
      <c r="Q42" s="313">
        <f>+L42*M42*N42*P42*1.05</f>
        <v>33.022080000000003</v>
      </c>
    </row>
    <row r="43" spans="3:25">
      <c r="C43" s="322" t="s">
        <v>353</v>
      </c>
      <c r="D43" s="344">
        <f>SUM(E43:E46)</f>
        <v>1.8882300164692438</v>
      </c>
      <c r="E43" s="324">
        <f t="shared" si="10"/>
        <v>1.04</v>
      </c>
      <c r="F43" s="325">
        <v>1</v>
      </c>
      <c r="G43" s="325">
        <f>+G41</f>
        <v>2.6</v>
      </c>
      <c r="H43" s="325">
        <f>+H41</f>
        <v>2</v>
      </c>
      <c r="I43" s="326">
        <f>+I41</f>
        <v>0.2</v>
      </c>
      <c r="K43" s="312" t="s">
        <v>357</v>
      </c>
      <c r="L43" s="312">
        <f>+E10+0.3*2-0.08</f>
        <v>2.52</v>
      </c>
      <c r="M43" s="312">
        <v>2</v>
      </c>
      <c r="N43" s="312">
        <f>ROUND((E9-0.08)/0.25+1,0)</f>
        <v>11</v>
      </c>
      <c r="O43" s="343">
        <v>0.375</v>
      </c>
      <c r="P43" s="312">
        <v>0.56000000000000005</v>
      </c>
      <c r="Q43" s="313">
        <f>+L43*M43*N43*P43*1.05</f>
        <v>32.59872</v>
      </c>
    </row>
    <row r="44" spans="3:25">
      <c r="C44" s="322"/>
      <c r="D44" s="344"/>
      <c r="E44" s="324">
        <f t="shared" si="10"/>
        <v>-0.28274333882308139</v>
      </c>
      <c r="F44" s="325">
        <v>-1</v>
      </c>
      <c r="G44" s="325">
        <f>+G42</f>
        <v>0.28274333882308139</v>
      </c>
      <c r="H44" s="325"/>
      <c r="I44" s="326"/>
      <c r="Q44" s="310">
        <f>SUM(Q42:Q43)</f>
        <v>65.620800000000003</v>
      </c>
    </row>
    <row r="45" spans="3:25">
      <c r="C45" s="322"/>
      <c r="D45" s="344"/>
      <c r="E45" s="324">
        <f t="shared" si="10"/>
        <v>0.65973445725385627</v>
      </c>
      <c r="F45" s="325">
        <v>1</v>
      </c>
      <c r="G45" s="325">
        <f>2*PI()*0.3</f>
        <v>1.8849555921538759</v>
      </c>
      <c r="H45" s="325"/>
      <c r="I45" s="326">
        <f>+E11-E12-H9-0.1</f>
        <v>0.34999999999999987</v>
      </c>
    </row>
    <row r="46" spans="3:25">
      <c r="C46" s="322"/>
      <c r="D46" s="344"/>
      <c r="E46" s="324">
        <f t="shared" si="10"/>
        <v>0.47123889803846897</v>
      </c>
      <c r="F46" s="325">
        <v>1</v>
      </c>
      <c r="G46" s="325">
        <f>2*PI()*0.5</f>
        <v>3.1415926535897931</v>
      </c>
      <c r="H46" s="325"/>
      <c r="I46" s="347">
        <v>0.15</v>
      </c>
    </row>
    <row r="47" spans="3:25">
      <c r="C47" s="328" t="s">
        <v>354</v>
      </c>
      <c r="D47" s="345">
        <f t="shared" si="3"/>
        <v>65.620800000000003</v>
      </c>
      <c r="E47" s="330">
        <f t="shared" si="10"/>
        <v>65.620800000000003</v>
      </c>
      <c r="F47" s="331">
        <f>+Q44</f>
        <v>65.620800000000003</v>
      </c>
      <c r="G47" s="331"/>
      <c r="H47" s="331"/>
      <c r="I47" s="332"/>
    </row>
    <row r="48" spans="3:25">
      <c r="C48" s="346"/>
      <c r="E48" s="314"/>
      <c r="F48" s="334"/>
      <c r="G48" s="334"/>
      <c r="H48" s="334"/>
      <c r="I48" s="334"/>
    </row>
    <row r="49" spans="3:10">
      <c r="C49" s="335" t="s">
        <v>366</v>
      </c>
      <c r="D49" s="336">
        <f t="shared" si="3"/>
        <v>22.04</v>
      </c>
      <c r="E49" s="337">
        <f t="shared" ref="E49" si="11">+PRODUCT(F49:I49)</f>
        <v>22.04</v>
      </c>
      <c r="F49" s="338">
        <v>1</v>
      </c>
      <c r="G49" s="338">
        <f>+G38</f>
        <v>7.6000000000000005</v>
      </c>
      <c r="H49" s="338"/>
      <c r="I49" s="339">
        <f>+I36</f>
        <v>2.9</v>
      </c>
    </row>
    <row r="50" spans="3:10">
      <c r="C50" s="346"/>
      <c r="E50" s="314"/>
      <c r="F50" s="334"/>
      <c r="G50" s="334"/>
      <c r="H50" s="334"/>
      <c r="I50" s="334"/>
    </row>
    <row r="51" spans="3:10">
      <c r="C51" s="335" t="s">
        <v>367</v>
      </c>
      <c r="D51" s="336">
        <f t="shared" si="3"/>
        <v>3.5200000000000005</v>
      </c>
      <c r="E51" s="337">
        <f t="shared" ref="E51" si="12">+PRODUCT(F51:I51)</f>
        <v>3.5200000000000005</v>
      </c>
      <c r="F51" s="338">
        <v>1</v>
      </c>
      <c r="G51" s="338">
        <f>+G15-2*H10</f>
        <v>2.2000000000000002</v>
      </c>
      <c r="H51" s="338">
        <f>+H15-2*H10</f>
        <v>1.6</v>
      </c>
      <c r="I51" s="339"/>
    </row>
    <row r="52" spans="3:10">
      <c r="C52" s="346"/>
      <c r="E52" s="314"/>
      <c r="F52" s="334"/>
      <c r="G52" s="334"/>
      <c r="H52" s="334"/>
      <c r="I52" s="334"/>
    </row>
    <row r="53" spans="3:10">
      <c r="C53" s="335" t="s">
        <v>368</v>
      </c>
      <c r="D53" s="336">
        <f t="shared" si="3"/>
        <v>2.9</v>
      </c>
      <c r="E53" s="337">
        <f t="shared" ref="E53" si="13">+PRODUCT(F53:I53)</f>
        <v>2.9</v>
      </c>
      <c r="F53" s="338">
        <v>1</v>
      </c>
      <c r="G53" s="338">
        <f>+E12</f>
        <v>2.9</v>
      </c>
      <c r="H53" s="338"/>
      <c r="I53" s="339"/>
    </row>
    <row r="54" spans="3:10">
      <c r="C54" s="346"/>
      <c r="E54" s="314"/>
      <c r="F54" s="334"/>
      <c r="G54" s="334"/>
      <c r="H54" s="334"/>
      <c r="I54" s="334"/>
    </row>
    <row r="55" spans="3:10">
      <c r="C55" s="335" t="s">
        <v>369</v>
      </c>
      <c r="D55" s="336">
        <f t="shared" si="3"/>
        <v>1</v>
      </c>
      <c r="E55" s="337">
        <f t="shared" ref="E55" si="14">+PRODUCT(F55:I55)</f>
        <v>1</v>
      </c>
      <c r="F55" s="338">
        <v>1</v>
      </c>
      <c r="G55" s="348">
        <v>1</v>
      </c>
      <c r="H55" s="338"/>
      <c r="I55" s="339"/>
    </row>
    <row r="56" spans="3:10">
      <c r="C56" s="346"/>
      <c r="E56" s="314"/>
      <c r="F56" s="334"/>
      <c r="G56" s="334"/>
      <c r="H56" s="334"/>
      <c r="I56" s="334"/>
    </row>
    <row r="57" spans="3:10">
      <c r="C57" s="335" t="s">
        <v>370</v>
      </c>
      <c r="D57" s="336">
        <f t="shared" si="3"/>
        <v>1</v>
      </c>
      <c r="E57" s="337">
        <f t="shared" ref="E57" si="15">+PRODUCT(F57:I57)</f>
        <v>1</v>
      </c>
      <c r="F57" s="338">
        <v>1</v>
      </c>
      <c r="G57" s="348">
        <v>1</v>
      </c>
      <c r="H57" s="338"/>
      <c r="I57" s="339"/>
    </row>
    <row r="58" spans="3:10">
      <c r="C58" s="346"/>
      <c r="I58" s="314"/>
    </row>
    <row r="59" spans="3:10" s="376" customFormat="1" ht="21">
      <c r="C59" s="372" t="s">
        <v>371</v>
      </c>
      <c r="D59" s="373"/>
      <c r="E59" s="373"/>
      <c r="F59" s="373"/>
      <c r="G59" s="373"/>
      <c r="H59" s="373"/>
      <c r="I59" s="374"/>
      <c r="J59" s="375"/>
    </row>
    <row r="60" spans="3:10">
      <c r="C60" s="316"/>
      <c r="D60" s="314" t="s">
        <v>329</v>
      </c>
      <c r="E60" s="314">
        <v>2.6</v>
      </c>
      <c r="F60" s="314"/>
      <c r="G60" s="314" t="s">
        <v>330</v>
      </c>
      <c r="H60" s="314">
        <v>0.2</v>
      </c>
    </row>
    <row r="61" spans="3:10">
      <c r="C61" s="316"/>
      <c r="D61" s="314" t="s">
        <v>331</v>
      </c>
      <c r="E61" s="314">
        <v>2</v>
      </c>
      <c r="F61" s="314"/>
      <c r="G61" s="314" t="s">
        <v>332</v>
      </c>
      <c r="H61" s="314">
        <v>0.2</v>
      </c>
    </row>
    <row r="62" spans="3:10">
      <c r="C62" s="316"/>
      <c r="D62" s="314" t="s">
        <v>333</v>
      </c>
      <c r="E62" s="314">
        <v>3.1</v>
      </c>
      <c r="F62" s="314"/>
      <c r="G62" s="314" t="s">
        <v>334</v>
      </c>
      <c r="H62" s="314">
        <v>0.2</v>
      </c>
    </row>
    <row r="63" spans="3:10">
      <c r="C63" s="316"/>
      <c r="D63" s="314" t="s">
        <v>335</v>
      </c>
      <c r="E63" s="314">
        <v>2.5499999999999998</v>
      </c>
      <c r="F63" s="314"/>
      <c r="G63" s="314"/>
      <c r="H63" s="314"/>
    </row>
    <row r="64" spans="3:10">
      <c r="C64" s="316"/>
    </row>
    <row r="65" spans="3:17">
      <c r="F65" s="313" t="s">
        <v>227</v>
      </c>
      <c r="G65" s="313" t="s">
        <v>336</v>
      </c>
      <c r="H65" s="313" t="s">
        <v>226</v>
      </c>
      <c r="I65" s="313" t="s">
        <v>2</v>
      </c>
    </row>
    <row r="66" spans="3:17">
      <c r="C66" s="317" t="s">
        <v>337</v>
      </c>
      <c r="D66" s="318">
        <f>+E66</f>
        <v>5.2</v>
      </c>
      <c r="E66" s="319">
        <f>+PRODUCT(F66:I66)</f>
        <v>5.2</v>
      </c>
      <c r="F66" s="320">
        <v>1</v>
      </c>
      <c r="G66" s="320">
        <f>+E60</f>
        <v>2.6</v>
      </c>
      <c r="H66" s="320">
        <f>+E61</f>
        <v>2</v>
      </c>
      <c r="I66" s="321"/>
    </row>
    <row r="67" spans="3:17">
      <c r="C67" s="322" t="s">
        <v>338</v>
      </c>
      <c r="D67" s="323">
        <f t="shared" ref="D67" si="16">+E67</f>
        <v>5.2</v>
      </c>
      <c r="E67" s="324">
        <f t="shared" ref="E67:E73" si="17">+PRODUCT(F67:I67)</f>
        <v>5.2</v>
      </c>
      <c r="F67" s="325">
        <f t="shared" ref="F67:H68" si="18">+F66</f>
        <v>1</v>
      </c>
      <c r="G67" s="325">
        <f t="shared" si="18"/>
        <v>2.6</v>
      </c>
      <c r="H67" s="325">
        <f t="shared" si="18"/>
        <v>2</v>
      </c>
      <c r="I67" s="326"/>
    </row>
    <row r="68" spans="3:17">
      <c r="C68" s="322" t="s">
        <v>339</v>
      </c>
      <c r="D68" s="323">
        <f>SUM(E68:E70)</f>
        <v>35.554000000000002</v>
      </c>
      <c r="E68" s="324">
        <f t="shared" si="17"/>
        <v>16.12</v>
      </c>
      <c r="F68" s="325">
        <f t="shared" si="18"/>
        <v>1</v>
      </c>
      <c r="G68" s="325">
        <f t="shared" si="18"/>
        <v>2.6</v>
      </c>
      <c r="H68" s="325">
        <f t="shared" si="18"/>
        <v>2</v>
      </c>
      <c r="I68" s="326">
        <f>+E62</f>
        <v>3.1</v>
      </c>
    </row>
    <row r="69" spans="3:17">
      <c r="C69" s="327" t="s">
        <v>340</v>
      </c>
      <c r="D69" s="324"/>
      <c r="E69" s="324">
        <f t="shared" si="17"/>
        <v>19.344000000000001</v>
      </c>
      <c r="F69" s="325">
        <v>1</v>
      </c>
      <c r="G69" s="325">
        <f>+(G68*2+1.2)+H68*2</f>
        <v>10.4</v>
      </c>
      <c r="H69" s="325">
        <v>0.6</v>
      </c>
      <c r="I69" s="326">
        <f>+I68</f>
        <v>3.1</v>
      </c>
    </row>
    <row r="70" spans="3:17">
      <c r="C70" s="327"/>
      <c r="D70" s="324"/>
      <c r="E70" s="324">
        <f t="shared" si="17"/>
        <v>0.09</v>
      </c>
      <c r="F70" s="325">
        <v>1</v>
      </c>
      <c r="G70" s="325">
        <v>0.3</v>
      </c>
      <c r="H70" s="325">
        <v>0.3</v>
      </c>
      <c r="I70" s="326">
        <v>1</v>
      </c>
    </row>
    <row r="71" spans="3:17">
      <c r="C71" s="322" t="s">
        <v>341</v>
      </c>
      <c r="D71" s="323">
        <f>+E71</f>
        <v>5.2</v>
      </c>
      <c r="E71" s="324">
        <f t="shared" si="17"/>
        <v>5.2</v>
      </c>
      <c r="F71" s="325">
        <f>+F68</f>
        <v>1</v>
      </c>
      <c r="G71" s="325">
        <f>+G68</f>
        <v>2.6</v>
      </c>
      <c r="H71" s="325">
        <f>+H68</f>
        <v>2</v>
      </c>
      <c r="I71" s="326"/>
    </row>
    <row r="72" spans="3:17">
      <c r="C72" s="322" t="s">
        <v>342</v>
      </c>
      <c r="D72" s="323">
        <f t="shared" ref="D72:D108" si="19">+E72</f>
        <v>19.344000000000001</v>
      </c>
      <c r="E72" s="324">
        <f t="shared" si="17"/>
        <v>19.344000000000001</v>
      </c>
      <c r="F72" s="325">
        <f>+E69</f>
        <v>19.344000000000001</v>
      </c>
      <c r="G72" s="325"/>
      <c r="H72" s="325"/>
      <c r="I72" s="326"/>
    </row>
    <row r="73" spans="3:17">
      <c r="C73" s="328" t="s">
        <v>343</v>
      </c>
      <c r="D73" s="329">
        <f t="shared" si="19"/>
        <v>16.21</v>
      </c>
      <c r="E73" s="330">
        <f t="shared" si="17"/>
        <v>16.21</v>
      </c>
      <c r="F73" s="331">
        <f>+D68-D72</f>
        <v>16.21</v>
      </c>
      <c r="G73" s="331"/>
      <c r="H73" s="331"/>
      <c r="I73" s="332"/>
    </row>
    <row r="74" spans="3:17">
      <c r="C74" s="333"/>
      <c r="D74" s="310"/>
      <c r="E74" s="314"/>
      <c r="F74" s="334"/>
      <c r="G74" s="334"/>
      <c r="H74" s="334"/>
      <c r="I74" s="334"/>
    </row>
    <row r="75" spans="3:17">
      <c r="C75" s="335" t="s">
        <v>344</v>
      </c>
      <c r="D75" s="336">
        <f t="shared" si="19"/>
        <v>6.3E-2</v>
      </c>
      <c r="E75" s="337">
        <f t="shared" ref="E75" si="20">+PRODUCT(F75:I75)</f>
        <v>6.3E-2</v>
      </c>
      <c r="F75" s="338">
        <v>1</v>
      </c>
      <c r="G75" s="338">
        <v>0.3</v>
      </c>
      <c r="H75" s="338">
        <v>0.3</v>
      </c>
      <c r="I75" s="339">
        <v>0.7</v>
      </c>
    </row>
    <row r="76" spans="3:17">
      <c r="C76" s="333"/>
      <c r="D76" s="310"/>
      <c r="E76" s="314"/>
      <c r="F76" s="334"/>
      <c r="G76" s="334"/>
      <c r="H76" s="334"/>
      <c r="I76" s="334"/>
    </row>
    <row r="77" spans="3:17">
      <c r="C77" s="335" t="s">
        <v>345</v>
      </c>
      <c r="D77" s="336">
        <f t="shared" si="19"/>
        <v>0.52</v>
      </c>
      <c r="E77" s="337">
        <f t="shared" ref="E77" si="21">+PRODUCT(F77:I77)</f>
        <v>0.52</v>
      </c>
      <c r="F77" s="338">
        <f>+F66</f>
        <v>1</v>
      </c>
      <c r="G77" s="338">
        <f>+G66</f>
        <v>2.6</v>
      </c>
      <c r="H77" s="338">
        <f>+H66</f>
        <v>2</v>
      </c>
      <c r="I77" s="339">
        <v>0.1</v>
      </c>
    </row>
    <row r="78" spans="3:17">
      <c r="C78" s="333"/>
      <c r="D78" s="340"/>
      <c r="F78" s="334"/>
      <c r="G78" s="334"/>
      <c r="H78" s="334"/>
      <c r="I78" s="334"/>
      <c r="K78" s="311" t="s">
        <v>346</v>
      </c>
      <c r="L78" s="309" t="s">
        <v>336</v>
      </c>
      <c r="M78" s="312" t="s">
        <v>347</v>
      </c>
      <c r="N78" s="309" t="s">
        <v>227</v>
      </c>
      <c r="O78" s="309" t="s">
        <v>348</v>
      </c>
      <c r="P78" s="309" t="s">
        <v>349</v>
      </c>
      <c r="Q78" s="309" t="s">
        <v>350</v>
      </c>
    </row>
    <row r="79" spans="3:17">
      <c r="C79" s="317" t="s">
        <v>351</v>
      </c>
      <c r="D79" s="341">
        <f t="shared" si="19"/>
        <v>5.808E-2</v>
      </c>
      <c r="E79" s="319">
        <f t="shared" ref="E79:E81" si="22">+PRODUCT(F79:I79)</f>
        <v>5.808E-2</v>
      </c>
      <c r="F79" s="320">
        <v>1</v>
      </c>
      <c r="G79" s="342">
        <v>0.55000000000000004</v>
      </c>
      <c r="H79" s="320">
        <v>0.22</v>
      </c>
      <c r="I79" s="321">
        <v>0.48</v>
      </c>
      <c r="K79" s="312" t="s">
        <v>352</v>
      </c>
      <c r="L79" s="312">
        <f>+G79+0.3*2-0.08</f>
        <v>1.0699999999999998</v>
      </c>
      <c r="M79" s="312">
        <v>2</v>
      </c>
      <c r="N79" s="312">
        <f>ROUND((G79-0.08)/0.15+1,0)</f>
        <v>4</v>
      </c>
      <c r="O79" s="343">
        <v>0.375</v>
      </c>
      <c r="P79" s="312">
        <v>0.56000000000000005</v>
      </c>
      <c r="Q79" s="313">
        <f>+L79*M79*N79*P79</f>
        <v>4.7935999999999996</v>
      </c>
    </row>
    <row r="80" spans="3:17">
      <c r="C80" s="322" t="s">
        <v>353</v>
      </c>
      <c r="D80" s="344">
        <f t="shared" si="19"/>
        <v>0.73919999999999997</v>
      </c>
      <c r="E80" s="324">
        <f t="shared" si="22"/>
        <v>0.73919999999999997</v>
      </c>
      <c r="F80" s="325">
        <v>1</v>
      </c>
      <c r="G80" s="325">
        <f>+G79*2+H79*2</f>
        <v>1.54</v>
      </c>
      <c r="H80" s="325"/>
      <c r="I80" s="326">
        <v>0.48</v>
      </c>
    </row>
    <row r="81" spans="3:25">
      <c r="C81" s="328" t="s">
        <v>354</v>
      </c>
      <c r="D81" s="345">
        <f t="shared" si="19"/>
        <v>4.7935999999999996</v>
      </c>
      <c r="E81" s="330">
        <f t="shared" si="22"/>
        <v>4.7935999999999996</v>
      </c>
      <c r="F81" s="331">
        <f>+Q79</f>
        <v>4.7935999999999996</v>
      </c>
      <c r="G81" s="331"/>
      <c r="H81" s="331"/>
      <c r="I81" s="332"/>
    </row>
    <row r="82" spans="3:25">
      <c r="C82" s="333"/>
      <c r="D82" s="310"/>
      <c r="E82" s="314"/>
      <c r="F82" s="334"/>
      <c r="G82" s="334"/>
      <c r="H82" s="334"/>
      <c r="I82" s="334"/>
      <c r="K82" s="311" t="s">
        <v>355</v>
      </c>
      <c r="L82" s="309" t="s">
        <v>336</v>
      </c>
      <c r="M82" s="312" t="s">
        <v>347</v>
      </c>
      <c r="N82" s="309" t="s">
        <v>227</v>
      </c>
      <c r="O82" s="309" t="s">
        <v>348</v>
      </c>
      <c r="P82" s="309" t="s">
        <v>349</v>
      </c>
      <c r="Q82" s="309" t="s">
        <v>350</v>
      </c>
    </row>
    <row r="83" spans="3:25">
      <c r="C83" s="317" t="s">
        <v>356</v>
      </c>
      <c r="D83" s="341">
        <f t="shared" si="19"/>
        <v>1.04</v>
      </c>
      <c r="E83" s="319">
        <f t="shared" ref="E83:E85" si="23">+PRODUCT(F83:I83)</f>
        <v>1.04</v>
      </c>
      <c r="F83" s="320">
        <v>1</v>
      </c>
      <c r="G83" s="320">
        <f>+E60</f>
        <v>2.6</v>
      </c>
      <c r="H83" s="320">
        <f>+E61</f>
        <v>2</v>
      </c>
      <c r="I83" s="321">
        <f>+H60</f>
        <v>0.2</v>
      </c>
      <c r="K83" s="312" t="s">
        <v>352</v>
      </c>
      <c r="L83" s="312">
        <f>+E60+0.3*2-0.08</f>
        <v>3.12</v>
      </c>
      <c r="M83" s="312">
        <v>2</v>
      </c>
      <c r="N83" s="312">
        <f>ROUND((E61-0.08)/0.25+1,0)</f>
        <v>9</v>
      </c>
      <c r="O83" s="343">
        <v>0.375</v>
      </c>
      <c r="P83" s="312">
        <v>0.56000000000000005</v>
      </c>
      <c r="Q83" s="313">
        <f>+L83*M83*N83*P83</f>
        <v>31.449600000000004</v>
      </c>
    </row>
    <row r="84" spans="3:25">
      <c r="C84" s="322" t="s">
        <v>353</v>
      </c>
      <c r="D84" s="344">
        <f t="shared" si="19"/>
        <v>1.8399999999999999</v>
      </c>
      <c r="E84" s="324">
        <f t="shared" si="23"/>
        <v>1.8399999999999999</v>
      </c>
      <c r="F84" s="325">
        <v>1</v>
      </c>
      <c r="G84" s="325">
        <f>+G83*2+H83*2</f>
        <v>9.1999999999999993</v>
      </c>
      <c r="H84" s="325"/>
      <c r="I84" s="326">
        <f>+I83</f>
        <v>0.2</v>
      </c>
      <c r="K84" s="312" t="s">
        <v>357</v>
      </c>
      <c r="L84" s="312">
        <f>+E61+0.3*2-0.08</f>
        <v>2.52</v>
      </c>
      <c r="M84" s="312">
        <v>2</v>
      </c>
      <c r="N84" s="312">
        <f>ROUND((E60-0.08)/0.25+1,0)</f>
        <v>11</v>
      </c>
      <c r="O84" s="343">
        <v>0.375</v>
      </c>
      <c r="P84" s="312">
        <v>0.56000000000000005</v>
      </c>
      <c r="Q84" s="313">
        <f>+L84*M84*N84*P84</f>
        <v>31.046400000000002</v>
      </c>
    </row>
    <row r="85" spans="3:25">
      <c r="C85" s="328" t="s">
        <v>354</v>
      </c>
      <c r="D85" s="345">
        <f t="shared" si="19"/>
        <v>62.496000000000009</v>
      </c>
      <c r="E85" s="330">
        <f t="shared" si="23"/>
        <v>62.496000000000009</v>
      </c>
      <c r="F85" s="331">
        <f>+Q85</f>
        <v>62.496000000000009</v>
      </c>
      <c r="G85" s="331"/>
      <c r="H85" s="331"/>
      <c r="I85" s="332"/>
      <c r="Q85" s="310">
        <f>SUM(Q83:Q84)</f>
        <v>62.496000000000009</v>
      </c>
    </row>
    <row r="86" spans="3:25">
      <c r="C86" s="333"/>
      <c r="D86" s="310"/>
      <c r="E86" s="314"/>
      <c r="F86" s="334"/>
      <c r="G86" s="334"/>
      <c r="H86" s="334"/>
      <c r="I86" s="334"/>
    </row>
    <row r="87" spans="3:25">
      <c r="C87" s="317" t="s">
        <v>358</v>
      </c>
      <c r="D87" s="341">
        <f t="shared" si="19"/>
        <v>4.2839999999999998</v>
      </c>
      <c r="E87" s="319">
        <f t="shared" ref="E87:E90" si="24">+PRODUCT(F87:I87)</f>
        <v>4.2839999999999998</v>
      </c>
      <c r="F87" s="320">
        <v>1</v>
      </c>
      <c r="G87" s="320">
        <f>+E60*2+(E61-2*H61)*2</f>
        <v>8.4</v>
      </c>
      <c r="H87" s="320">
        <f>+H61</f>
        <v>0.2</v>
      </c>
      <c r="I87" s="321">
        <f>+E63</f>
        <v>2.5499999999999998</v>
      </c>
      <c r="K87" s="311" t="s">
        <v>359</v>
      </c>
      <c r="L87" s="309" t="s">
        <v>336</v>
      </c>
      <c r="M87" s="312" t="s">
        <v>360</v>
      </c>
      <c r="N87" s="309" t="s">
        <v>227</v>
      </c>
      <c r="O87" s="309" t="s">
        <v>348</v>
      </c>
      <c r="P87" s="309" t="s">
        <v>349</v>
      </c>
      <c r="Q87" s="309" t="s">
        <v>350</v>
      </c>
      <c r="S87" s="311" t="s">
        <v>361</v>
      </c>
      <c r="T87" s="309" t="s">
        <v>336</v>
      </c>
      <c r="U87" s="312" t="s">
        <v>360</v>
      </c>
      <c r="V87" s="309" t="s">
        <v>227</v>
      </c>
      <c r="W87" s="309" t="s">
        <v>348</v>
      </c>
      <c r="X87" s="309" t="s">
        <v>349</v>
      </c>
      <c r="Y87" s="309" t="s">
        <v>350</v>
      </c>
    </row>
    <row r="88" spans="3:25">
      <c r="C88" s="322" t="s">
        <v>353</v>
      </c>
      <c r="D88" s="344">
        <f>+E88+E89</f>
        <v>42.839999999999996</v>
      </c>
      <c r="E88" s="324">
        <f t="shared" si="24"/>
        <v>23.459999999999997</v>
      </c>
      <c r="F88" s="325">
        <v>1</v>
      </c>
      <c r="G88" s="325">
        <f>+(E60+E61)*2</f>
        <v>9.1999999999999993</v>
      </c>
      <c r="H88" s="325"/>
      <c r="I88" s="326">
        <f>+I87</f>
        <v>2.5499999999999998</v>
      </c>
      <c r="K88" s="312" t="s">
        <v>362</v>
      </c>
      <c r="L88" s="312">
        <f>+E60+0.3*2-0.08</f>
        <v>3.12</v>
      </c>
      <c r="M88" s="312">
        <f>2+2</f>
        <v>4</v>
      </c>
      <c r="N88" s="312">
        <f>ROUND((E63-0.08)/0.25+1,0)</f>
        <v>11</v>
      </c>
      <c r="O88" s="343">
        <v>0.375</v>
      </c>
      <c r="P88" s="312">
        <v>0.56000000000000005</v>
      </c>
      <c r="Q88" s="313">
        <f t="shared" ref="Q88:Q89" si="25">+L88*M88*N88*P88</f>
        <v>76.876800000000003</v>
      </c>
      <c r="S88" s="312" t="s">
        <v>362</v>
      </c>
      <c r="T88" s="312">
        <f>+E61+0.3*2-0.08</f>
        <v>2.52</v>
      </c>
      <c r="U88" s="312">
        <f>2+2</f>
        <v>4</v>
      </c>
      <c r="V88" s="312">
        <f>ROUND((E63-0.08)/0.25+1,0)</f>
        <v>11</v>
      </c>
      <c r="W88" s="343">
        <v>0.375</v>
      </c>
      <c r="X88" s="312">
        <v>0.56000000000000005</v>
      </c>
      <c r="Y88" s="313">
        <f t="shared" ref="Y88:Y89" si="26">+T88*U88*V88*X88</f>
        <v>62.092800000000004</v>
      </c>
    </row>
    <row r="89" spans="3:25">
      <c r="C89" s="322"/>
      <c r="D89" s="344"/>
      <c r="E89" s="324">
        <f t="shared" si="24"/>
        <v>19.38</v>
      </c>
      <c r="F89" s="325">
        <v>1</v>
      </c>
      <c r="G89" s="325">
        <f>+(E60-2*H61)*2+(E61-2*H61)*2</f>
        <v>7.6000000000000005</v>
      </c>
      <c r="H89" s="325"/>
      <c r="I89" s="326">
        <f>+I88</f>
        <v>2.5499999999999998</v>
      </c>
      <c r="K89" s="312" t="s">
        <v>363</v>
      </c>
      <c r="L89" s="312">
        <f>+E63+0.3*2-0.04+H62+H60</f>
        <v>3.5100000000000002</v>
      </c>
      <c r="M89" s="312">
        <f>2+2</f>
        <v>4</v>
      </c>
      <c r="N89" s="312">
        <f>ROUND((E60-0.08)/0.25+1,0)</f>
        <v>11</v>
      </c>
      <c r="O89" s="343">
        <v>0.375</v>
      </c>
      <c r="P89" s="312">
        <v>0.56000000000000005</v>
      </c>
      <c r="Q89" s="313">
        <f t="shared" si="25"/>
        <v>86.486400000000003</v>
      </c>
      <c r="S89" s="312" t="s">
        <v>363</v>
      </c>
      <c r="T89" s="312">
        <f>+E63+0.3*2-0.04+H62+H60</f>
        <v>3.5100000000000002</v>
      </c>
      <c r="U89" s="312">
        <f>2+2</f>
        <v>4</v>
      </c>
      <c r="V89" s="312">
        <f>ROUND((E61-0.08)/0.25+1,0)</f>
        <v>9</v>
      </c>
      <c r="W89" s="343">
        <v>0.375</v>
      </c>
      <c r="X89" s="312">
        <v>0.56000000000000005</v>
      </c>
      <c r="Y89" s="313">
        <f t="shared" si="26"/>
        <v>70.761600000000016</v>
      </c>
    </row>
    <row r="90" spans="3:25">
      <c r="C90" s="328" t="s">
        <v>354</v>
      </c>
      <c r="D90" s="345">
        <f t="shared" si="19"/>
        <v>296.21760000000006</v>
      </c>
      <c r="E90" s="330">
        <f t="shared" si="24"/>
        <v>296.21760000000006</v>
      </c>
      <c r="F90" s="331">
        <f>+Q90+Y90</f>
        <v>296.21760000000006</v>
      </c>
      <c r="G90" s="331"/>
      <c r="H90" s="331"/>
      <c r="I90" s="332"/>
      <c r="Q90" s="310">
        <f>SUM(Q88:Q89)</f>
        <v>163.36320000000001</v>
      </c>
      <c r="Y90" s="310">
        <f>SUM(Y88:Y89)</f>
        <v>132.85440000000003</v>
      </c>
    </row>
    <row r="91" spans="3:25">
      <c r="C91" s="346"/>
      <c r="E91" s="314"/>
      <c r="F91" s="334"/>
      <c r="G91" s="334"/>
      <c r="H91" s="334"/>
      <c r="I91" s="334"/>
    </row>
    <row r="92" spans="3:25">
      <c r="C92" s="317" t="s">
        <v>364</v>
      </c>
      <c r="D92" s="341">
        <f>+E92+E93</f>
        <v>0.98345133223538372</v>
      </c>
      <c r="E92" s="319">
        <f t="shared" ref="E92:E98" si="27">+PRODUCT(F92:I92)</f>
        <v>1.04</v>
      </c>
      <c r="F92" s="320">
        <v>1</v>
      </c>
      <c r="G92" s="320">
        <f>+G83</f>
        <v>2.6</v>
      </c>
      <c r="H92" s="320">
        <f>+H83</f>
        <v>2</v>
      </c>
      <c r="I92" s="321">
        <f>+H62</f>
        <v>0.2</v>
      </c>
      <c r="K92" s="311" t="s">
        <v>365</v>
      </c>
      <c r="L92" s="309" t="s">
        <v>336</v>
      </c>
      <c r="M92" s="312" t="s">
        <v>347</v>
      </c>
      <c r="N92" s="309" t="s">
        <v>227</v>
      </c>
      <c r="O92" s="309" t="s">
        <v>348</v>
      </c>
      <c r="P92" s="309" t="s">
        <v>349</v>
      </c>
      <c r="Q92" s="309" t="s">
        <v>350</v>
      </c>
    </row>
    <row r="93" spans="3:25">
      <c r="C93" s="322"/>
      <c r="D93" s="344"/>
      <c r="E93" s="324">
        <f t="shared" si="27"/>
        <v>-5.6548667764616284E-2</v>
      </c>
      <c r="F93" s="325">
        <v>-1</v>
      </c>
      <c r="G93" s="325">
        <f>+PI()*0.3^2</f>
        <v>0.28274333882308139</v>
      </c>
      <c r="H93" s="325"/>
      <c r="I93" s="326">
        <f>+I92</f>
        <v>0.2</v>
      </c>
      <c r="K93" s="312" t="s">
        <v>352</v>
      </c>
      <c r="L93" s="312">
        <f>+E60+0.3*2-0.08</f>
        <v>3.12</v>
      </c>
      <c r="M93" s="312">
        <v>2</v>
      </c>
      <c r="N93" s="312">
        <f>ROUND((E61-0.08)/0.25+1,0)</f>
        <v>9</v>
      </c>
      <c r="O93" s="343">
        <v>0.375</v>
      </c>
      <c r="P93" s="312">
        <v>0.56000000000000005</v>
      </c>
      <c r="Q93" s="313">
        <f>+L93*M93*N93*P93*1.05</f>
        <v>33.022080000000003</v>
      </c>
    </row>
    <row r="94" spans="3:25">
      <c r="C94" s="322" t="s">
        <v>353</v>
      </c>
      <c r="D94" s="344">
        <f>SUM(E94:E97)</f>
        <v>1.6997344572538571</v>
      </c>
      <c r="E94" s="324">
        <f t="shared" si="27"/>
        <v>1.04</v>
      </c>
      <c r="F94" s="325">
        <v>1</v>
      </c>
      <c r="G94" s="325">
        <f>+G92</f>
        <v>2.6</v>
      </c>
      <c r="H94" s="325">
        <f>+H92</f>
        <v>2</v>
      </c>
      <c r="I94" s="326">
        <f>+I92</f>
        <v>0.2</v>
      </c>
      <c r="K94" s="312" t="s">
        <v>357</v>
      </c>
      <c r="L94" s="312">
        <f>+E61+0.3*2-0.08</f>
        <v>2.52</v>
      </c>
      <c r="M94" s="312">
        <v>2</v>
      </c>
      <c r="N94" s="312">
        <f>ROUND((E60-0.08)/0.25+1,0)</f>
        <v>11</v>
      </c>
      <c r="O94" s="343">
        <v>0.375</v>
      </c>
      <c r="P94" s="312">
        <v>0.56000000000000005</v>
      </c>
      <c r="Q94" s="313">
        <f>+L94*M94*N94*P94*1.05</f>
        <v>32.59872</v>
      </c>
    </row>
    <row r="95" spans="3:25">
      <c r="C95" s="322"/>
      <c r="D95" s="344"/>
      <c r="E95" s="324">
        <f t="shared" si="27"/>
        <v>-0.28274333882308139</v>
      </c>
      <c r="F95" s="325">
        <v>-1</v>
      </c>
      <c r="G95" s="325">
        <f>+G93</f>
        <v>0.28274333882308139</v>
      </c>
      <c r="H95" s="325"/>
      <c r="I95" s="326"/>
      <c r="Q95" s="310">
        <f>SUM(Q93:Q94)</f>
        <v>65.620800000000003</v>
      </c>
    </row>
    <row r="96" spans="3:25">
      <c r="C96" s="322"/>
      <c r="D96" s="344"/>
      <c r="E96" s="324">
        <f t="shared" si="27"/>
        <v>0.47123889803846941</v>
      </c>
      <c r="F96" s="325">
        <v>1</v>
      </c>
      <c r="G96" s="325">
        <f>2*PI()*0.3</f>
        <v>1.8849555921538759</v>
      </c>
      <c r="H96" s="325"/>
      <c r="I96" s="326">
        <f>+E62-E63-H60-0.1</f>
        <v>0.25000000000000022</v>
      </c>
    </row>
    <row r="97" spans="3:10">
      <c r="C97" s="322"/>
      <c r="D97" s="344"/>
      <c r="E97" s="324">
        <f t="shared" si="27"/>
        <v>0.47123889803846897</v>
      </c>
      <c r="F97" s="325">
        <v>1</v>
      </c>
      <c r="G97" s="325">
        <f>2*PI()*0.5</f>
        <v>3.1415926535897931</v>
      </c>
      <c r="H97" s="325"/>
      <c r="I97" s="347">
        <v>0.15</v>
      </c>
    </row>
    <row r="98" spans="3:10">
      <c r="C98" s="328" t="s">
        <v>354</v>
      </c>
      <c r="D98" s="345">
        <f t="shared" si="19"/>
        <v>65.620800000000003</v>
      </c>
      <c r="E98" s="330">
        <f t="shared" si="27"/>
        <v>65.620800000000003</v>
      </c>
      <c r="F98" s="331">
        <f>+Q95</f>
        <v>65.620800000000003</v>
      </c>
      <c r="G98" s="331"/>
      <c r="H98" s="331"/>
      <c r="I98" s="332"/>
    </row>
    <row r="99" spans="3:10">
      <c r="C99" s="346"/>
      <c r="E99" s="314"/>
      <c r="F99" s="334"/>
      <c r="G99" s="334"/>
      <c r="H99" s="334"/>
      <c r="I99" s="334"/>
    </row>
    <row r="100" spans="3:10">
      <c r="C100" s="335" t="s">
        <v>366</v>
      </c>
      <c r="D100" s="336">
        <f t="shared" si="19"/>
        <v>19.38</v>
      </c>
      <c r="E100" s="337">
        <f t="shared" ref="E100" si="28">+PRODUCT(F100:I100)</f>
        <v>19.38</v>
      </c>
      <c r="F100" s="338">
        <v>1</v>
      </c>
      <c r="G100" s="338">
        <f>+G89</f>
        <v>7.6000000000000005</v>
      </c>
      <c r="H100" s="338"/>
      <c r="I100" s="339">
        <f>+I87</f>
        <v>2.5499999999999998</v>
      </c>
    </row>
    <row r="101" spans="3:10">
      <c r="C101" s="346"/>
      <c r="E101" s="314"/>
      <c r="F101" s="334"/>
      <c r="G101" s="334"/>
      <c r="H101" s="334"/>
      <c r="I101" s="334"/>
    </row>
    <row r="102" spans="3:10">
      <c r="C102" s="335" t="s">
        <v>367</v>
      </c>
      <c r="D102" s="336">
        <f t="shared" si="19"/>
        <v>3.5200000000000005</v>
      </c>
      <c r="E102" s="337">
        <f t="shared" ref="E102" si="29">+PRODUCT(F102:I102)</f>
        <v>3.5200000000000005</v>
      </c>
      <c r="F102" s="338">
        <v>1</v>
      </c>
      <c r="G102" s="338">
        <f>+G66-2*H61</f>
        <v>2.2000000000000002</v>
      </c>
      <c r="H102" s="338">
        <f>+H66-2*H61</f>
        <v>1.6</v>
      </c>
      <c r="I102" s="339"/>
    </row>
    <row r="103" spans="3:10">
      <c r="C103" s="346"/>
      <c r="E103" s="314"/>
      <c r="F103" s="334"/>
      <c r="G103" s="334"/>
      <c r="H103" s="334"/>
      <c r="I103" s="334"/>
    </row>
    <row r="104" spans="3:10">
      <c r="C104" s="335" t="s">
        <v>368</v>
      </c>
      <c r="D104" s="336">
        <f t="shared" si="19"/>
        <v>2.5499999999999998</v>
      </c>
      <c r="E104" s="337">
        <f t="shared" ref="E104" si="30">+PRODUCT(F104:I104)</f>
        <v>2.5499999999999998</v>
      </c>
      <c r="F104" s="338">
        <v>1</v>
      </c>
      <c r="G104" s="338">
        <f>+E63</f>
        <v>2.5499999999999998</v>
      </c>
      <c r="H104" s="338"/>
      <c r="I104" s="339"/>
    </row>
    <row r="105" spans="3:10">
      <c r="C105" s="346"/>
      <c r="E105" s="314"/>
      <c r="F105" s="334"/>
      <c r="G105" s="334"/>
      <c r="H105" s="334"/>
      <c r="I105" s="334"/>
    </row>
    <row r="106" spans="3:10">
      <c r="C106" s="335" t="s">
        <v>369</v>
      </c>
      <c r="D106" s="336">
        <f t="shared" si="19"/>
        <v>1</v>
      </c>
      <c r="E106" s="337">
        <f t="shared" ref="E106" si="31">+PRODUCT(F106:I106)</f>
        <v>1</v>
      </c>
      <c r="F106" s="338">
        <v>1</v>
      </c>
      <c r="G106" s="348">
        <v>1</v>
      </c>
      <c r="H106" s="338"/>
      <c r="I106" s="339"/>
    </row>
    <row r="107" spans="3:10">
      <c r="C107" s="346"/>
      <c r="E107" s="314"/>
      <c r="F107" s="334"/>
      <c r="G107" s="334"/>
      <c r="H107" s="334"/>
      <c r="I107" s="334"/>
    </row>
    <row r="108" spans="3:10">
      <c r="C108" s="335" t="s">
        <v>370</v>
      </c>
      <c r="D108" s="336">
        <f t="shared" si="19"/>
        <v>1</v>
      </c>
      <c r="E108" s="337">
        <f t="shared" ref="E108" si="32">+PRODUCT(F108:I108)</f>
        <v>1</v>
      </c>
      <c r="F108" s="338">
        <v>1</v>
      </c>
      <c r="G108" s="348">
        <v>1</v>
      </c>
      <c r="H108" s="338"/>
      <c r="I108" s="339"/>
    </row>
    <row r="110" spans="3:10" s="376" customFormat="1" ht="21">
      <c r="C110" s="372" t="s">
        <v>372</v>
      </c>
      <c r="D110" s="373"/>
      <c r="E110" s="373"/>
      <c r="F110" s="373"/>
      <c r="G110" s="373"/>
      <c r="H110" s="373"/>
      <c r="I110" s="374"/>
      <c r="J110" s="375"/>
    </row>
    <row r="111" spans="3:10">
      <c r="C111" s="316"/>
      <c r="D111" s="314" t="s">
        <v>329</v>
      </c>
      <c r="E111" s="314">
        <v>2.6</v>
      </c>
      <c r="F111" s="314"/>
      <c r="G111" s="314" t="s">
        <v>330</v>
      </c>
      <c r="H111" s="314">
        <v>0.2</v>
      </c>
    </row>
    <row r="112" spans="3:10">
      <c r="C112" s="316"/>
      <c r="D112" s="314" t="s">
        <v>331</v>
      </c>
      <c r="E112" s="314">
        <v>2</v>
      </c>
      <c r="F112" s="314"/>
      <c r="G112" s="314" t="s">
        <v>332</v>
      </c>
      <c r="H112" s="314">
        <v>0.2</v>
      </c>
    </row>
    <row r="113" spans="3:9">
      <c r="C113" s="316"/>
      <c r="D113" s="314" t="s">
        <v>333</v>
      </c>
      <c r="E113" s="314">
        <v>2.9</v>
      </c>
      <c r="F113" s="314"/>
      <c r="G113" s="314" t="s">
        <v>334</v>
      </c>
      <c r="H113" s="314">
        <v>0.2</v>
      </c>
    </row>
    <row r="114" spans="3:9">
      <c r="C114" s="316"/>
      <c r="D114" s="314" t="s">
        <v>335</v>
      </c>
      <c r="E114" s="314">
        <v>2.25</v>
      </c>
      <c r="F114" s="314"/>
      <c r="G114" s="314"/>
      <c r="H114" s="314"/>
    </row>
    <row r="115" spans="3:9">
      <c r="C115" s="316"/>
    </row>
    <row r="116" spans="3:9">
      <c r="F116" s="313" t="s">
        <v>227</v>
      </c>
      <c r="G116" s="313" t="s">
        <v>336</v>
      </c>
      <c r="H116" s="313" t="s">
        <v>226</v>
      </c>
      <c r="I116" s="313" t="s">
        <v>2</v>
      </c>
    </row>
    <row r="117" spans="3:9">
      <c r="C117" s="317" t="s">
        <v>337</v>
      </c>
      <c r="D117" s="318">
        <f>+E117</f>
        <v>5.2</v>
      </c>
      <c r="E117" s="319">
        <f>+PRODUCT(F117:I117)</f>
        <v>5.2</v>
      </c>
      <c r="F117" s="320">
        <v>1</v>
      </c>
      <c r="G117" s="320">
        <f>+E111</f>
        <v>2.6</v>
      </c>
      <c r="H117" s="320">
        <f>+E112</f>
        <v>2</v>
      </c>
      <c r="I117" s="321"/>
    </row>
    <row r="118" spans="3:9">
      <c r="C118" s="322" t="s">
        <v>338</v>
      </c>
      <c r="D118" s="323">
        <f t="shared" ref="D118" si="33">+E118</f>
        <v>5.2</v>
      </c>
      <c r="E118" s="324">
        <f t="shared" ref="E118:E124" si="34">+PRODUCT(F118:I118)</f>
        <v>5.2</v>
      </c>
      <c r="F118" s="325">
        <f t="shared" ref="F118:H119" si="35">+F117</f>
        <v>1</v>
      </c>
      <c r="G118" s="325">
        <f t="shared" si="35"/>
        <v>2.6</v>
      </c>
      <c r="H118" s="325">
        <f t="shared" si="35"/>
        <v>2</v>
      </c>
      <c r="I118" s="326"/>
    </row>
    <row r="119" spans="3:9">
      <c r="C119" s="322" t="s">
        <v>339</v>
      </c>
      <c r="D119" s="323">
        <f>SUM(E119:E121)</f>
        <v>33.266000000000005</v>
      </c>
      <c r="E119" s="324">
        <f t="shared" si="34"/>
        <v>15.08</v>
      </c>
      <c r="F119" s="325">
        <f t="shared" si="35"/>
        <v>1</v>
      </c>
      <c r="G119" s="325">
        <f t="shared" si="35"/>
        <v>2.6</v>
      </c>
      <c r="H119" s="325">
        <f t="shared" si="35"/>
        <v>2</v>
      </c>
      <c r="I119" s="326">
        <f>+E113</f>
        <v>2.9</v>
      </c>
    </row>
    <row r="120" spans="3:9">
      <c r="C120" s="327" t="s">
        <v>340</v>
      </c>
      <c r="D120" s="324"/>
      <c r="E120" s="324">
        <f t="shared" si="34"/>
        <v>18.096</v>
      </c>
      <c r="F120" s="325">
        <v>1</v>
      </c>
      <c r="G120" s="325">
        <f>+(G119*2+1.2)+H119*2</f>
        <v>10.4</v>
      </c>
      <c r="H120" s="325">
        <v>0.6</v>
      </c>
      <c r="I120" s="326">
        <f>+I119</f>
        <v>2.9</v>
      </c>
    </row>
    <row r="121" spans="3:9">
      <c r="C121" s="327"/>
      <c r="D121" s="324"/>
      <c r="E121" s="324">
        <f t="shared" si="34"/>
        <v>0.09</v>
      </c>
      <c r="F121" s="325">
        <v>1</v>
      </c>
      <c r="G121" s="325">
        <v>0.3</v>
      </c>
      <c r="H121" s="325">
        <v>0.3</v>
      </c>
      <c r="I121" s="326">
        <v>1</v>
      </c>
    </row>
    <row r="122" spans="3:9">
      <c r="C122" s="322" t="s">
        <v>341</v>
      </c>
      <c r="D122" s="323">
        <f>+E122</f>
        <v>5.2</v>
      </c>
      <c r="E122" s="324">
        <f t="shared" si="34"/>
        <v>5.2</v>
      </c>
      <c r="F122" s="325">
        <f>+F119</f>
        <v>1</v>
      </c>
      <c r="G122" s="325">
        <f>+G119</f>
        <v>2.6</v>
      </c>
      <c r="H122" s="325">
        <f>+H119</f>
        <v>2</v>
      </c>
      <c r="I122" s="326"/>
    </row>
    <row r="123" spans="3:9">
      <c r="C123" s="322" t="s">
        <v>342</v>
      </c>
      <c r="D123" s="323">
        <f t="shared" ref="D123:D159" si="36">+E123</f>
        <v>18.096</v>
      </c>
      <c r="E123" s="324">
        <f t="shared" si="34"/>
        <v>18.096</v>
      </c>
      <c r="F123" s="325">
        <f>+E120</f>
        <v>18.096</v>
      </c>
      <c r="G123" s="325"/>
      <c r="H123" s="325"/>
      <c r="I123" s="326"/>
    </row>
    <row r="124" spans="3:9">
      <c r="C124" s="328" t="s">
        <v>343</v>
      </c>
      <c r="D124" s="329">
        <f t="shared" si="36"/>
        <v>15.170000000000005</v>
      </c>
      <c r="E124" s="330">
        <f t="shared" si="34"/>
        <v>15.170000000000005</v>
      </c>
      <c r="F124" s="331">
        <f>+D119-D123</f>
        <v>15.170000000000005</v>
      </c>
      <c r="G124" s="331"/>
      <c r="H124" s="331"/>
      <c r="I124" s="332"/>
    </row>
    <row r="125" spans="3:9">
      <c r="C125" s="333"/>
      <c r="D125" s="310"/>
      <c r="E125" s="314"/>
      <c r="F125" s="334"/>
      <c r="G125" s="334"/>
      <c r="H125" s="334"/>
      <c r="I125" s="334"/>
    </row>
    <row r="126" spans="3:9">
      <c r="C126" s="335" t="s">
        <v>344</v>
      </c>
      <c r="D126" s="336">
        <f t="shared" si="36"/>
        <v>6.3E-2</v>
      </c>
      <c r="E126" s="337">
        <f t="shared" ref="E126" si="37">+PRODUCT(F126:I126)</f>
        <v>6.3E-2</v>
      </c>
      <c r="F126" s="338">
        <v>1</v>
      </c>
      <c r="G126" s="338">
        <v>0.3</v>
      </c>
      <c r="H126" s="338">
        <v>0.3</v>
      </c>
      <c r="I126" s="339">
        <v>0.7</v>
      </c>
    </row>
    <row r="127" spans="3:9">
      <c r="C127" s="333"/>
      <c r="D127" s="310"/>
      <c r="E127" s="314"/>
      <c r="F127" s="334"/>
      <c r="G127" s="334"/>
      <c r="H127" s="334"/>
      <c r="I127" s="334"/>
    </row>
    <row r="128" spans="3:9">
      <c r="C128" s="335" t="s">
        <v>345</v>
      </c>
      <c r="D128" s="336">
        <f t="shared" si="36"/>
        <v>0.52</v>
      </c>
      <c r="E128" s="337">
        <f t="shared" ref="E128" si="38">+PRODUCT(F128:I128)</f>
        <v>0.52</v>
      </c>
      <c r="F128" s="338">
        <f>+F117</f>
        <v>1</v>
      </c>
      <c r="G128" s="338">
        <f>+G117</f>
        <v>2.6</v>
      </c>
      <c r="H128" s="338">
        <f>+H117</f>
        <v>2</v>
      </c>
      <c r="I128" s="339">
        <v>0.1</v>
      </c>
    </row>
    <row r="129" spans="3:25">
      <c r="C129" s="333"/>
      <c r="D129" s="340"/>
      <c r="F129" s="334"/>
      <c r="G129" s="334"/>
      <c r="H129" s="334"/>
      <c r="I129" s="334"/>
      <c r="K129" s="311" t="s">
        <v>346</v>
      </c>
      <c r="L129" s="309" t="s">
        <v>336</v>
      </c>
      <c r="M129" s="312" t="s">
        <v>347</v>
      </c>
      <c r="N129" s="309" t="s">
        <v>227</v>
      </c>
      <c r="O129" s="309" t="s">
        <v>348</v>
      </c>
      <c r="P129" s="309" t="s">
        <v>349</v>
      </c>
      <c r="Q129" s="309" t="s">
        <v>350</v>
      </c>
    </row>
    <row r="130" spans="3:25">
      <c r="C130" s="317" t="s">
        <v>351</v>
      </c>
      <c r="D130" s="341">
        <f t="shared" si="36"/>
        <v>5.808E-2</v>
      </c>
      <c r="E130" s="319">
        <f t="shared" ref="E130:E132" si="39">+PRODUCT(F130:I130)</f>
        <v>5.808E-2</v>
      </c>
      <c r="F130" s="320">
        <v>1</v>
      </c>
      <c r="G130" s="342">
        <v>0.55000000000000004</v>
      </c>
      <c r="H130" s="320">
        <v>0.22</v>
      </c>
      <c r="I130" s="321">
        <v>0.48</v>
      </c>
      <c r="K130" s="312" t="s">
        <v>352</v>
      </c>
      <c r="L130" s="312">
        <f>+G130+0.3*2-0.08</f>
        <v>1.0699999999999998</v>
      </c>
      <c r="M130" s="312">
        <v>2</v>
      </c>
      <c r="N130" s="312">
        <f>ROUND((G130-0.08)/0.15+1,0)</f>
        <v>4</v>
      </c>
      <c r="O130" s="343">
        <v>0.375</v>
      </c>
      <c r="P130" s="312">
        <v>0.56000000000000005</v>
      </c>
      <c r="Q130" s="313">
        <f>+L130*M130*N130*P130</f>
        <v>4.7935999999999996</v>
      </c>
    </row>
    <row r="131" spans="3:25">
      <c r="C131" s="322" t="s">
        <v>353</v>
      </c>
      <c r="D131" s="344">
        <f t="shared" si="36"/>
        <v>0.73919999999999997</v>
      </c>
      <c r="E131" s="324">
        <f t="shared" si="39"/>
        <v>0.73919999999999997</v>
      </c>
      <c r="F131" s="325">
        <v>1</v>
      </c>
      <c r="G131" s="325">
        <f>+G130*2+H130*2</f>
        <v>1.54</v>
      </c>
      <c r="H131" s="325"/>
      <c r="I131" s="326">
        <v>0.48</v>
      </c>
    </row>
    <row r="132" spans="3:25">
      <c r="C132" s="328" t="s">
        <v>354</v>
      </c>
      <c r="D132" s="345">
        <f t="shared" si="36"/>
        <v>4.7935999999999996</v>
      </c>
      <c r="E132" s="330">
        <f t="shared" si="39"/>
        <v>4.7935999999999996</v>
      </c>
      <c r="F132" s="331">
        <f>+Q130</f>
        <v>4.7935999999999996</v>
      </c>
      <c r="G132" s="331"/>
      <c r="H132" s="331"/>
      <c r="I132" s="332"/>
    </row>
    <row r="133" spans="3:25">
      <c r="C133" s="333"/>
      <c r="D133" s="310"/>
      <c r="E133" s="314"/>
      <c r="F133" s="334"/>
      <c r="G133" s="334"/>
      <c r="H133" s="334"/>
      <c r="I133" s="334"/>
      <c r="K133" s="311" t="s">
        <v>355</v>
      </c>
      <c r="L133" s="309" t="s">
        <v>336</v>
      </c>
      <c r="M133" s="312" t="s">
        <v>347</v>
      </c>
      <c r="N133" s="309" t="s">
        <v>227</v>
      </c>
      <c r="O133" s="309" t="s">
        <v>348</v>
      </c>
      <c r="P133" s="309" t="s">
        <v>349</v>
      </c>
      <c r="Q133" s="309" t="s">
        <v>350</v>
      </c>
    </row>
    <row r="134" spans="3:25">
      <c r="C134" s="317" t="s">
        <v>356</v>
      </c>
      <c r="D134" s="341">
        <f t="shared" si="36"/>
        <v>1.04</v>
      </c>
      <c r="E134" s="319">
        <f t="shared" ref="E134:E136" si="40">+PRODUCT(F134:I134)</f>
        <v>1.04</v>
      </c>
      <c r="F134" s="320">
        <v>1</v>
      </c>
      <c r="G134" s="320">
        <f>+E111</f>
        <v>2.6</v>
      </c>
      <c r="H134" s="320">
        <f>+E112</f>
        <v>2</v>
      </c>
      <c r="I134" s="321">
        <f>+H111</f>
        <v>0.2</v>
      </c>
      <c r="K134" s="312" t="s">
        <v>352</v>
      </c>
      <c r="L134" s="312">
        <f>+E111+0.3*2-0.08</f>
        <v>3.12</v>
      </c>
      <c r="M134" s="312">
        <v>2</v>
      </c>
      <c r="N134" s="312">
        <f>ROUND((E112-0.08)/0.25+1,0)</f>
        <v>9</v>
      </c>
      <c r="O134" s="343">
        <v>0.375</v>
      </c>
      <c r="P134" s="312">
        <v>0.56000000000000005</v>
      </c>
      <c r="Q134" s="313">
        <f>+L134*M134*N134*P134</f>
        <v>31.449600000000004</v>
      </c>
    </row>
    <row r="135" spans="3:25">
      <c r="C135" s="322" t="s">
        <v>353</v>
      </c>
      <c r="D135" s="344">
        <f t="shared" si="36"/>
        <v>1.8399999999999999</v>
      </c>
      <c r="E135" s="324">
        <f t="shared" si="40"/>
        <v>1.8399999999999999</v>
      </c>
      <c r="F135" s="325">
        <v>1</v>
      </c>
      <c r="G135" s="325">
        <f>+G134*2+H134*2</f>
        <v>9.1999999999999993</v>
      </c>
      <c r="H135" s="325"/>
      <c r="I135" s="326">
        <f>+I134</f>
        <v>0.2</v>
      </c>
      <c r="K135" s="312" t="s">
        <v>357</v>
      </c>
      <c r="L135" s="312">
        <f>+E112+0.3*2-0.08</f>
        <v>2.52</v>
      </c>
      <c r="M135" s="312">
        <v>2</v>
      </c>
      <c r="N135" s="312">
        <f>ROUND((E111-0.08)/0.25+1,0)</f>
        <v>11</v>
      </c>
      <c r="O135" s="343">
        <v>0.375</v>
      </c>
      <c r="P135" s="312">
        <v>0.56000000000000005</v>
      </c>
      <c r="Q135" s="313">
        <f>+L135*M135*N135*P135</f>
        <v>31.046400000000002</v>
      </c>
    </row>
    <row r="136" spans="3:25">
      <c r="C136" s="328" t="s">
        <v>354</v>
      </c>
      <c r="D136" s="345">
        <f t="shared" si="36"/>
        <v>62.496000000000009</v>
      </c>
      <c r="E136" s="330">
        <f t="shared" si="40"/>
        <v>62.496000000000009</v>
      </c>
      <c r="F136" s="331">
        <f>+Q136</f>
        <v>62.496000000000009</v>
      </c>
      <c r="G136" s="331"/>
      <c r="H136" s="331"/>
      <c r="I136" s="332"/>
      <c r="Q136" s="310">
        <f>SUM(Q134:Q135)</f>
        <v>62.496000000000009</v>
      </c>
    </row>
    <row r="137" spans="3:25">
      <c r="C137" s="333"/>
      <c r="D137" s="310"/>
      <c r="E137" s="314"/>
      <c r="F137" s="334"/>
      <c r="G137" s="334"/>
      <c r="H137" s="334"/>
      <c r="I137" s="334"/>
    </row>
    <row r="138" spans="3:25">
      <c r="C138" s="317" t="s">
        <v>358</v>
      </c>
      <c r="D138" s="341">
        <f t="shared" si="36"/>
        <v>3.7800000000000002</v>
      </c>
      <c r="E138" s="319">
        <f t="shared" ref="E138:E141" si="41">+PRODUCT(F138:I138)</f>
        <v>3.7800000000000002</v>
      </c>
      <c r="F138" s="320">
        <v>1</v>
      </c>
      <c r="G138" s="320">
        <f>+E111*2+(E112-2*H112)*2</f>
        <v>8.4</v>
      </c>
      <c r="H138" s="320">
        <f>+H112</f>
        <v>0.2</v>
      </c>
      <c r="I138" s="321">
        <f>+E114</f>
        <v>2.25</v>
      </c>
      <c r="K138" s="311" t="s">
        <v>359</v>
      </c>
      <c r="L138" s="309" t="s">
        <v>336</v>
      </c>
      <c r="M138" s="312" t="s">
        <v>360</v>
      </c>
      <c r="N138" s="309" t="s">
        <v>227</v>
      </c>
      <c r="O138" s="309" t="s">
        <v>348</v>
      </c>
      <c r="P138" s="309" t="s">
        <v>349</v>
      </c>
      <c r="Q138" s="309" t="s">
        <v>350</v>
      </c>
      <c r="S138" s="311" t="s">
        <v>361</v>
      </c>
      <c r="T138" s="309" t="s">
        <v>336</v>
      </c>
      <c r="U138" s="312" t="s">
        <v>360</v>
      </c>
      <c r="V138" s="309" t="s">
        <v>227</v>
      </c>
      <c r="W138" s="309" t="s">
        <v>348</v>
      </c>
      <c r="X138" s="309" t="s">
        <v>349</v>
      </c>
      <c r="Y138" s="309" t="s">
        <v>350</v>
      </c>
    </row>
    <row r="139" spans="3:25">
      <c r="C139" s="322" t="s">
        <v>353</v>
      </c>
      <c r="D139" s="344">
        <f>+E139+E140</f>
        <v>37.799999999999997</v>
      </c>
      <c r="E139" s="324">
        <f t="shared" si="41"/>
        <v>20.7</v>
      </c>
      <c r="F139" s="325">
        <v>1</v>
      </c>
      <c r="G139" s="325">
        <f>+(E111+E112)*2</f>
        <v>9.1999999999999993</v>
      </c>
      <c r="H139" s="325"/>
      <c r="I139" s="326">
        <f>+I138</f>
        <v>2.25</v>
      </c>
      <c r="K139" s="312" t="s">
        <v>362</v>
      </c>
      <c r="L139" s="312">
        <f>+E111+0.3*2-0.08</f>
        <v>3.12</v>
      </c>
      <c r="M139" s="312">
        <f>2+2</f>
        <v>4</v>
      </c>
      <c r="N139" s="312">
        <f>ROUND((E114-0.08)/0.25+1,0)</f>
        <v>10</v>
      </c>
      <c r="O139" s="343">
        <v>0.375</v>
      </c>
      <c r="P139" s="312">
        <v>0.56000000000000005</v>
      </c>
      <c r="Q139" s="313">
        <f t="shared" ref="Q139:Q140" si="42">+L139*M139*N139*P139</f>
        <v>69.888000000000019</v>
      </c>
      <c r="S139" s="312" t="s">
        <v>362</v>
      </c>
      <c r="T139" s="312">
        <f>+E112+0.3*2-0.08</f>
        <v>2.52</v>
      </c>
      <c r="U139" s="312">
        <f>2+2</f>
        <v>4</v>
      </c>
      <c r="V139" s="312">
        <f>ROUND((E114-0.08)/0.25+1,0)</f>
        <v>10</v>
      </c>
      <c r="W139" s="343">
        <v>0.375</v>
      </c>
      <c r="X139" s="312">
        <v>0.56000000000000005</v>
      </c>
      <c r="Y139" s="313">
        <f t="shared" ref="Y139:Y140" si="43">+T139*U139*V139*X139</f>
        <v>56.448</v>
      </c>
    </row>
    <row r="140" spans="3:25">
      <c r="C140" s="322"/>
      <c r="D140" s="344"/>
      <c r="E140" s="324">
        <f t="shared" si="41"/>
        <v>17.100000000000001</v>
      </c>
      <c r="F140" s="325">
        <v>1</v>
      </c>
      <c r="G140" s="325">
        <f>+(E111-2*H112)*2+(E112-2*H112)*2</f>
        <v>7.6000000000000005</v>
      </c>
      <c r="H140" s="325"/>
      <c r="I140" s="326">
        <f>+I139</f>
        <v>2.25</v>
      </c>
      <c r="K140" s="312" t="s">
        <v>363</v>
      </c>
      <c r="L140" s="312">
        <f>+E114+0.3*2-0.04+H113+H111</f>
        <v>3.2100000000000004</v>
      </c>
      <c r="M140" s="312">
        <f>2+2</f>
        <v>4</v>
      </c>
      <c r="N140" s="312">
        <f>ROUND((E111-0.08)/0.25+1,0)</f>
        <v>11</v>
      </c>
      <c r="O140" s="343">
        <v>0.375</v>
      </c>
      <c r="P140" s="312">
        <v>0.56000000000000005</v>
      </c>
      <c r="Q140" s="313">
        <f t="shared" si="42"/>
        <v>79.094400000000007</v>
      </c>
      <c r="S140" s="312" t="s">
        <v>363</v>
      </c>
      <c r="T140" s="312">
        <f>+E114+0.3*2-0.04+H113+H111</f>
        <v>3.2100000000000004</v>
      </c>
      <c r="U140" s="312">
        <f>2+2</f>
        <v>4</v>
      </c>
      <c r="V140" s="312">
        <f>ROUND((E112-0.08)/0.25+1,0)</f>
        <v>9</v>
      </c>
      <c r="W140" s="343">
        <v>0.375</v>
      </c>
      <c r="X140" s="312">
        <v>0.56000000000000005</v>
      </c>
      <c r="Y140" s="313">
        <f t="shared" si="43"/>
        <v>64.713600000000014</v>
      </c>
    </row>
    <row r="141" spans="3:25">
      <c r="C141" s="328" t="s">
        <v>354</v>
      </c>
      <c r="D141" s="345">
        <f t="shared" si="36"/>
        <v>270.14400000000006</v>
      </c>
      <c r="E141" s="330">
        <f t="shared" si="41"/>
        <v>270.14400000000006</v>
      </c>
      <c r="F141" s="331">
        <f>+Q141+Y141</f>
        <v>270.14400000000006</v>
      </c>
      <c r="G141" s="331"/>
      <c r="H141" s="331"/>
      <c r="I141" s="332"/>
      <c r="Q141" s="310">
        <f>SUM(Q139:Q140)</f>
        <v>148.98240000000004</v>
      </c>
      <c r="Y141" s="310">
        <f>SUM(Y139:Y140)</f>
        <v>121.16160000000002</v>
      </c>
    </row>
    <row r="142" spans="3:25">
      <c r="C142" s="346"/>
      <c r="E142" s="314"/>
      <c r="F142" s="334"/>
      <c r="G142" s="334"/>
      <c r="H142" s="334"/>
      <c r="I142" s="334"/>
    </row>
    <row r="143" spans="3:25">
      <c r="C143" s="317" t="s">
        <v>364</v>
      </c>
      <c r="D143" s="341">
        <f>+E143+E144</f>
        <v>0.98345133223538372</v>
      </c>
      <c r="E143" s="319">
        <f t="shared" ref="E143:E149" si="44">+PRODUCT(F143:I143)</f>
        <v>1.04</v>
      </c>
      <c r="F143" s="320">
        <v>1</v>
      </c>
      <c r="G143" s="320">
        <f>+G134</f>
        <v>2.6</v>
      </c>
      <c r="H143" s="320">
        <f>+H134</f>
        <v>2</v>
      </c>
      <c r="I143" s="321">
        <f>+H113</f>
        <v>0.2</v>
      </c>
      <c r="K143" s="311" t="s">
        <v>365</v>
      </c>
      <c r="L143" s="309" t="s">
        <v>336</v>
      </c>
      <c r="M143" s="312" t="s">
        <v>347</v>
      </c>
      <c r="N143" s="309" t="s">
        <v>227</v>
      </c>
      <c r="O143" s="309" t="s">
        <v>348</v>
      </c>
      <c r="P143" s="309" t="s">
        <v>349</v>
      </c>
      <c r="Q143" s="309" t="s">
        <v>350</v>
      </c>
    </row>
    <row r="144" spans="3:25">
      <c r="C144" s="322"/>
      <c r="D144" s="344"/>
      <c r="E144" s="324">
        <f t="shared" si="44"/>
        <v>-5.6548667764616284E-2</v>
      </c>
      <c r="F144" s="325">
        <v>-1</v>
      </c>
      <c r="G144" s="325">
        <f>+PI()*0.3^2</f>
        <v>0.28274333882308139</v>
      </c>
      <c r="H144" s="325"/>
      <c r="I144" s="326">
        <f>+I143</f>
        <v>0.2</v>
      </c>
      <c r="K144" s="312" t="s">
        <v>352</v>
      </c>
      <c r="L144" s="312">
        <f>+E111+0.3*2-0.08</f>
        <v>3.12</v>
      </c>
      <c r="M144" s="312">
        <v>2</v>
      </c>
      <c r="N144" s="312">
        <f>ROUND((E112-0.08)/0.25+1,0)</f>
        <v>9</v>
      </c>
      <c r="O144" s="343">
        <v>0.375</v>
      </c>
      <c r="P144" s="312">
        <v>0.56000000000000005</v>
      </c>
      <c r="Q144" s="313">
        <f>+L144*M144*N144*P144*1.05</f>
        <v>33.022080000000003</v>
      </c>
    </row>
    <row r="145" spans="3:17">
      <c r="C145" s="322" t="s">
        <v>353</v>
      </c>
      <c r="D145" s="344">
        <f>SUM(E145:E148)</f>
        <v>1.8882300164692438</v>
      </c>
      <c r="E145" s="324">
        <f t="shared" si="44"/>
        <v>1.04</v>
      </c>
      <c r="F145" s="325">
        <v>1</v>
      </c>
      <c r="G145" s="325">
        <f>+G143</f>
        <v>2.6</v>
      </c>
      <c r="H145" s="325">
        <f>+H143</f>
        <v>2</v>
      </c>
      <c r="I145" s="326">
        <f>+I143</f>
        <v>0.2</v>
      </c>
      <c r="K145" s="312" t="s">
        <v>357</v>
      </c>
      <c r="L145" s="312">
        <f>+E112+0.3*2-0.08</f>
        <v>2.52</v>
      </c>
      <c r="M145" s="312">
        <v>2</v>
      </c>
      <c r="N145" s="312">
        <f>ROUND((E111-0.08)/0.25+1,0)</f>
        <v>11</v>
      </c>
      <c r="O145" s="343">
        <v>0.375</v>
      </c>
      <c r="P145" s="312">
        <v>0.56000000000000005</v>
      </c>
      <c r="Q145" s="313">
        <f>+L145*M145*N145*P145*1.05</f>
        <v>32.59872</v>
      </c>
    </row>
    <row r="146" spans="3:17">
      <c r="C146" s="322"/>
      <c r="D146" s="344"/>
      <c r="E146" s="324">
        <f t="shared" si="44"/>
        <v>-0.28274333882308139</v>
      </c>
      <c r="F146" s="325">
        <v>-1</v>
      </c>
      <c r="G146" s="325">
        <f>+G144</f>
        <v>0.28274333882308139</v>
      </c>
      <c r="H146" s="325"/>
      <c r="I146" s="326"/>
      <c r="Q146" s="310">
        <f>SUM(Q144:Q145)</f>
        <v>65.620800000000003</v>
      </c>
    </row>
    <row r="147" spans="3:17">
      <c r="C147" s="322"/>
      <c r="D147" s="344"/>
      <c r="E147" s="324">
        <f t="shared" si="44"/>
        <v>0.65973445725385627</v>
      </c>
      <c r="F147" s="325">
        <v>1</v>
      </c>
      <c r="G147" s="325">
        <f>2*PI()*0.3</f>
        <v>1.8849555921538759</v>
      </c>
      <c r="H147" s="325"/>
      <c r="I147" s="326">
        <f>+E113-E114-H111-0.1</f>
        <v>0.34999999999999987</v>
      </c>
    </row>
    <row r="148" spans="3:17">
      <c r="C148" s="322"/>
      <c r="D148" s="344"/>
      <c r="E148" s="324">
        <f t="shared" si="44"/>
        <v>0.47123889803846897</v>
      </c>
      <c r="F148" s="325">
        <v>1</v>
      </c>
      <c r="G148" s="325">
        <f>2*PI()*0.5</f>
        <v>3.1415926535897931</v>
      </c>
      <c r="H148" s="325"/>
      <c r="I148" s="347">
        <v>0.15</v>
      </c>
    </row>
    <row r="149" spans="3:17">
      <c r="C149" s="328" t="s">
        <v>354</v>
      </c>
      <c r="D149" s="345">
        <f t="shared" si="36"/>
        <v>65.620800000000003</v>
      </c>
      <c r="E149" s="330">
        <f t="shared" si="44"/>
        <v>65.620800000000003</v>
      </c>
      <c r="F149" s="331">
        <f>+Q146</f>
        <v>65.620800000000003</v>
      </c>
      <c r="G149" s="331"/>
      <c r="H149" s="331"/>
      <c r="I149" s="332"/>
    </row>
    <row r="150" spans="3:17">
      <c r="C150" s="346"/>
      <c r="E150" s="314"/>
      <c r="F150" s="334"/>
      <c r="G150" s="334"/>
      <c r="H150" s="334"/>
      <c r="I150" s="334"/>
    </row>
    <row r="151" spans="3:17">
      <c r="C151" s="335" t="s">
        <v>366</v>
      </c>
      <c r="D151" s="336">
        <f t="shared" si="36"/>
        <v>17.100000000000001</v>
      </c>
      <c r="E151" s="337">
        <f t="shared" ref="E151" si="45">+PRODUCT(F151:I151)</f>
        <v>17.100000000000001</v>
      </c>
      <c r="F151" s="338">
        <v>1</v>
      </c>
      <c r="G151" s="338">
        <f>+G140</f>
        <v>7.6000000000000005</v>
      </c>
      <c r="H151" s="338"/>
      <c r="I151" s="339">
        <f>+I138</f>
        <v>2.25</v>
      </c>
    </row>
    <row r="152" spans="3:17">
      <c r="C152" s="346"/>
      <c r="E152" s="314"/>
      <c r="F152" s="334"/>
      <c r="G152" s="334"/>
      <c r="H152" s="334"/>
      <c r="I152" s="334"/>
    </row>
    <row r="153" spans="3:17">
      <c r="C153" s="335" t="s">
        <v>367</v>
      </c>
      <c r="D153" s="336">
        <f t="shared" si="36"/>
        <v>3.5200000000000005</v>
      </c>
      <c r="E153" s="337">
        <f t="shared" ref="E153" si="46">+PRODUCT(F153:I153)</f>
        <v>3.5200000000000005</v>
      </c>
      <c r="F153" s="338">
        <v>1</v>
      </c>
      <c r="G153" s="338">
        <f>+G117-2*H112</f>
        <v>2.2000000000000002</v>
      </c>
      <c r="H153" s="338">
        <f>+H117-2*H112</f>
        <v>1.6</v>
      </c>
      <c r="I153" s="339"/>
    </row>
    <row r="154" spans="3:17">
      <c r="C154" s="346"/>
      <c r="E154" s="314"/>
      <c r="F154" s="334"/>
      <c r="G154" s="334"/>
      <c r="H154" s="334"/>
      <c r="I154" s="334"/>
    </row>
    <row r="155" spans="3:17">
      <c r="C155" s="335" t="s">
        <v>368</v>
      </c>
      <c r="D155" s="336">
        <f t="shared" si="36"/>
        <v>2.25</v>
      </c>
      <c r="E155" s="337">
        <f t="shared" ref="E155" si="47">+PRODUCT(F155:I155)</f>
        <v>2.25</v>
      </c>
      <c r="F155" s="338">
        <v>1</v>
      </c>
      <c r="G155" s="338">
        <f>+E114</f>
        <v>2.25</v>
      </c>
      <c r="H155" s="338"/>
      <c r="I155" s="339"/>
    </row>
    <row r="156" spans="3:17">
      <c r="C156" s="346"/>
      <c r="E156" s="314"/>
      <c r="F156" s="334"/>
      <c r="G156" s="334"/>
      <c r="H156" s="334"/>
      <c r="I156" s="334"/>
    </row>
    <row r="157" spans="3:17">
      <c r="C157" s="335" t="s">
        <v>369</v>
      </c>
      <c r="D157" s="336">
        <f t="shared" si="36"/>
        <v>1</v>
      </c>
      <c r="E157" s="337">
        <f t="shared" ref="E157" si="48">+PRODUCT(F157:I157)</f>
        <v>1</v>
      </c>
      <c r="F157" s="338">
        <v>1</v>
      </c>
      <c r="G157" s="348">
        <v>1</v>
      </c>
      <c r="H157" s="338"/>
      <c r="I157" s="339"/>
    </row>
    <row r="158" spans="3:17">
      <c r="C158" s="346"/>
      <c r="E158" s="314"/>
      <c r="F158" s="334"/>
      <c r="G158" s="334"/>
      <c r="H158" s="334"/>
      <c r="I158" s="334"/>
    </row>
    <row r="159" spans="3:17">
      <c r="C159" s="335" t="s">
        <v>370</v>
      </c>
      <c r="D159" s="336">
        <f t="shared" si="36"/>
        <v>1</v>
      </c>
      <c r="E159" s="337">
        <f t="shared" ref="E159" si="49">+PRODUCT(F159:I159)</f>
        <v>1</v>
      </c>
      <c r="F159" s="338">
        <v>1</v>
      </c>
      <c r="G159" s="348">
        <v>1</v>
      </c>
      <c r="H159" s="338"/>
      <c r="I159" s="339"/>
    </row>
    <row r="162" spans="3:10" s="376" customFormat="1" ht="21">
      <c r="C162" s="372" t="s">
        <v>373</v>
      </c>
      <c r="D162" s="373"/>
      <c r="E162" s="373"/>
      <c r="F162" s="373"/>
      <c r="G162" s="373"/>
      <c r="H162" s="373"/>
      <c r="I162" s="374"/>
      <c r="J162" s="375"/>
    </row>
    <row r="163" spans="3:10">
      <c r="C163" s="316"/>
      <c r="D163" s="314" t="s">
        <v>329</v>
      </c>
      <c r="E163" s="314">
        <v>3.4</v>
      </c>
      <c r="F163" s="314"/>
      <c r="G163" s="314" t="s">
        <v>330</v>
      </c>
      <c r="H163" s="314">
        <v>0.2</v>
      </c>
    </row>
    <row r="164" spans="3:10">
      <c r="C164" s="316"/>
      <c r="D164" s="314" t="s">
        <v>331</v>
      </c>
      <c r="E164" s="314">
        <v>2.9</v>
      </c>
      <c r="F164" s="314"/>
      <c r="G164" s="314" t="s">
        <v>332</v>
      </c>
      <c r="H164" s="314">
        <v>0.2</v>
      </c>
    </row>
    <row r="165" spans="3:10">
      <c r="C165" s="316"/>
      <c r="D165" s="314" t="s">
        <v>333</v>
      </c>
      <c r="E165" s="314">
        <v>2.9</v>
      </c>
      <c r="F165" s="314"/>
      <c r="G165" s="314" t="s">
        <v>334</v>
      </c>
      <c r="H165" s="314">
        <v>0.2</v>
      </c>
    </row>
    <row r="166" spans="3:10">
      <c r="C166" s="316"/>
      <c r="D166" s="314" t="s">
        <v>335</v>
      </c>
      <c r="E166" s="314">
        <v>2.5</v>
      </c>
      <c r="F166" s="314"/>
      <c r="G166" s="314"/>
      <c r="H166" s="314"/>
    </row>
    <row r="167" spans="3:10">
      <c r="C167" s="316"/>
    </row>
    <row r="168" spans="3:10">
      <c r="F168" s="313" t="s">
        <v>227</v>
      </c>
      <c r="G168" s="313" t="s">
        <v>336</v>
      </c>
      <c r="H168" s="313" t="s">
        <v>226</v>
      </c>
      <c r="I168" s="313" t="s">
        <v>2</v>
      </c>
    </row>
    <row r="169" spans="3:10">
      <c r="C169" s="317" t="s">
        <v>337</v>
      </c>
      <c r="D169" s="318">
        <f>+E169</f>
        <v>9.86</v>
      </c>
      <c r="E169" s="319">
        <f>+PRODUCT(F169:I169)</f>
        <v>9.86</v>
      </c>
      <c r="F169" s="320">
        <v>1</v>
      </c>
      <c r="G169" s="320">
        <f>+E163</f>
        <v>3.4</v>
      </c>
      <c r="H169" s="320">
        <f>+E164</f>
        <v>2.9</v>
      </c>
      <c r="I169" s="321"/>
    </row>
    <row r="170" spans="3:10">
      <c r="C170" s="322" t="s">
        <v>338</v>
      </c>
      <c r="D170" s="323">
        <f t="shared" ref="D170" si="50">+E170</f>
        <v>9.86</v>
      </c>
      <c r="E170" s="324">
        <f t="shared" ref="E170:E176" si="51">+PRODUCT(F170:I170)</f>
        <v>9.86</v>
      </c>
      <c r="F170" s="325">
        <f t="shared" ref="F170:H171" si="52">+F169</f>
        <v>1</v>
      </c>
      <c r="G170" s="325">
        <f t="shared" si="52"/>
        <v>3.4</v>
      </c>
      <c r="H170" s="325">
        <f t="shared" si="52"/>
        <v>2.9</v>
      </c>
      <c r="I170" s="326"/>
    </row>
    <row r="171" spans="3:10">
      <c r="C171" s="322" t="s">
        <v>339</v>
      </c>
      <c r="D171" s="323">
        <f>SUM(E171:E173)</f>
        <v>28.683999999999997</v>
      </c>
      <c r="E171" s="324">
        <f t="shared" si="51"/>
        <v>28.593999999999998</v>
      </c>
      <c r="F171" s="325">
        <f t="shared" si="52"/>
        <v>1</v>
      </c>
      <c r="G171" s="325">
        <f t="shared" si="52"/>
        <v>3.4</v>
      </c>
      <c r="H171" s="325">
        <f t="shared" si="52"/>
        <v>2.9</v>
      </c>
      <c r="I171" s="326">
        <f>+E165</f>
        <v>2.9</v>
      </c>
    </row>
    <row r="172" spans="3:10">
      <c r="C172" s="327" t="s">
        <v>340</v>
      </c>
      <c r="D172" s="324"/>
      <c r="E172" s="324">
        <f t="shared" si="51"/>
        <v>0</v>
      </c>
      <c r="F172" s="325">
        <v>0</v>
      </c>
      <c r="G172" s="325">
        <f>+(G171*2+1.2)+H171*2</f>
        <v>13.8</v>
      </c>
      <c r="H172" s="325">
        <v>0.6</v>
      </c>
      <c r="I172" s="326">
        <f>+I171</f>
        <v>2.9</v>
      </c>
    </row>
    <row r="173" spans="3:10">
      <c r="C173" s="327"/>
      <c r="D173" s="324"/>
      <c r="E173" s="324">
        <f t="shared" si="51"/>
        <v>0.09</v>
      </c>
      <c r="F173" s="325">
        <v>1</v>
      </c>
      <c r="G173" s="325">
        <v>0.3</v>
      </c>
      <c r="H173" s="325">
        <v>0.3</v>
      </c>
      <c r="I173" s="326">
        <v>1</v>
      </c>
    </row>
    <row r="174" spans="3:10">
      <c r="C174" s="322" t="s">
        <v>341</v>
      </c>
      <c r="D174" s="323">
        <f>+E174</f>
        <v>9.86</v>
      </c>
      <c r="E174" s="324">
        <f t="shared" si="51"/>
        <v>9.86</v>
      </c>
      <c r="F174" s="325">
        <f>+F171</f>
        <v>1</v>
      </c>
      <c r="G174" s="325">
        <f>+G171</f>
        <v>3.4</v>
      </c>
      <c r="H174" s="325">
        <f>+H171</f>
        <v>2.9</v>
      </c>
      <c r="I174" s="326"/>
    </row>
    <row r="175" spans="3:10">
      <c r="C175" s="322" t="s">
        <v>342</v>
      </c>
      <c r="D175" s="323">
        <f t="shared" ref="D175:D211" si="53">+E175</f>
        <v>0</v>
      </c>
      <c r="E175" s="324">
        <f t="shared" si="51"/>
        <v>0</v>
      </c>
      <c r="F175" s="325">
        <f>+E172</f>
        <v>0</v>
      </c>
      <c r="G175" s="325"/>
      <c r="H175" s="325"/>
      <c r="I175" s="326"/>
    </row>
    <row r="176" spans="3:10">
      <c r="C176" s="328" t="s">
        <v>343</v>
      </c>
      <c r="D176" s="329">
        <f t="shared" si="53"/>
        <v>28.683999999999997</v>
      </c>
      <c r="E176" s="330">
        <f t="shared" si="51"/>
        <v>28.683999999999997</v>
      </c>
      <c r="F176" s="331">
        <f>+D171-D175</f>
        <v>28.683999999999997</v>
      </c>
      <c r="G176" s="331"/>
      <c r="H176" s="331"/>
      <c r="I176" s="332"/>
    </row>
    <row r="177" spans="3:25">
      <c r="C177" s="333"/>
      <c r="D177" s="310"/>
      <c r="E177" s="314"/>
      <c r="F177" s="334"/>
      <c r="G177" s="334"/>
      <c r="H177" s="334"/>
      <c r="I177" s="334"/>
    </row>
    <row r="178" spans="3:25">
      <c r="C178" s="335" t="s">
        <v>344</v>
      </c>
      <c r="D178" s="336">
        <f t="shared" si="53"/>
        <v>6.3E-2</v>
      </c>
      <c r="E178" s="337">
        <f t="shared" ref="E178" si="54">+PRODUCT(F178:I178)</f>
        <v>6.3E-2</v>
      </c>
      <c r="F178" s="338">
        <v>1</v>
      </c>
      <c r="G178" s="338">
        <v>0.3</v>
      </c>
      <c r="H178" s="338">
        <v>0.3</v>
      </c>
      <c r="I178" s="339">
        <v>0.7</v>
      </c>
    </row>
    <row r="179" spans="3:25">
      <c r="C179" s="333"/>
      <c r="D179" s="310"/>
      <c r="E179" s="314"/>
      <c r="F179" s="334"/>
      <c r="G179" s="334"/>
      <c r="H179" s="334"/>
      <c r="I179" s="334"/>
    </row>
    <row r="180" spans="3:25">
      <c r="C180" s="335" t="s">
        <v>345</v>
      </c>
      <c r="D180" s="336">
        <f t="shared" si="53"/>
        <v>0.98599999999999999</v>
      </c>
      <c r="E180" s="337">
        <f t="shared" ref="E180" si="55">+PRODUCT(F180:I180)</f>
        <v>0.98599999999999999</v>
      </c>
      <c r="F180" s="338">
        <f>+F169</f>
        <v>1</v>
      </c>
      <c r="G180" s="338">
        <f>+G169</f>
        <v>3.4</v>
      </c>
      <c r="H180" s="338">
        <f>+H169</f>
        <v>2.9</v>
      </c>
      <c r="I180" s="339">
        <v>0.1</v>
      </c>
    </row>
    <row r="181" spans="3:25">
      <c r="C181" s="333"/>
      <c r="D181" s="340"/>
      <c r="F181" s="334"/>
      <c r="G181" s="334"/>
      <c r="H181" s="334"/>
      <c r="I181" s="334"/>
      <c r="K181" s="311" t="s">
        <v>346</v>
      </c>
      <c r="L181" s="309" t="s">
        <v>336</v>
      </c>
      <c r="M181" s="312" t="s">
        <v>347</v>
      </c>
      <c r="N181" s="309" t="s">
        <v>227</v>
      </c>
      <c r="O181" s="309" t="s">
        <v>348</v>
      </c>
      <c r="P181" s="309" t="s">
        <v>349</v>
      </c>
      <c r="Q181" s="309" t="s">
        <v>350</v>
      </c>
    </row>
    <row r="182" spans="3:25">
      <c r="C182" s="317" t="s">
        <v>351</v>
      </c>
      <c r="D182" s="341">
        <f t="shared" si="53"/>
        <v>5.808E-2</v>
      </c>
      <c r="E182" s="319">
        <f t="shared" ref="E182:E184" si="56">+PRODUCT(F182:I182)</f>
        <v>5.808E-2</v>
      </c>
      <c r="F182" s="320">
        <v>1</v>
      </c>
      <c r="G182" s="342">
        <v>0.55000000000000004</v>
      </c>
      <c r="H182" s="320">
        <v>0.22</v>
      </c>
      <c r="I182" s="321">
        <v>0.48</v>
      </c>
      <c r="K182" s="312" t="s">
        <v>352</v>
      </c>
      <c r="L182" s="312">
        <f>+G182+0.3*2-0.08</f>
        <v>1.0699999999999998</v>
      </c>
      <c r="M182" s="312">
        <v>2</v>
      </c>
      <c r="N182" s="312">
        <f>ROUND((G182-0.08)/0.15+1,0)</f>
        <v>4</v>
      </c>
      <c r="O182" s="343">
        <v>0.375</v>
      </c>
      <c r="P182" s="312">
        <v>0.56000000000000005</v>
      </c>
      <c r="Q182" s="313">
        <f>+L182*M182*N182*P182</f>
        <v>4.7935999999999996</v>
      </c>
    </row>
    <row r="183" spans="3:25">
      <c r="C183" s="322" t="s">
        <v>353</v>
      </c>
      <c r="D183" s="344">
        <f t="shared" si="53"/>
        <v>0.73919999999999997</v>
      </c>
      <c r="E183" s="324">
        <f t="shared" si="56"/>
        <v>0.73919999999999997</v>
      </c>
      <c r="F183" s="325">
        <v>1</v>
      </c>
      <c r="G183" s="325">
        <f>+G182*2+H182*2</f>
        <v>1.54</v>
      </c>
      <c r="H183" s="325"/>
      <c r="I183" s="326">
        <v>0.48</v>
      </c>
    </row>
    <row r="184" spans="3:25">
      <c r="C184" s="328" t="s">
        <v>354</v>
      </c>
      <c r="D184" s="345">
        <f t="shared" si="53"/>
        <v>4.7935999999999996</v>
      </c>
      <c r="E184" s="330">
        <f t="shared" si="56"/>
        <v>4.7935999999999996</v>
      </c>
      <c r="F184" s="331">
        <f>+Q182</f>
        <v>4.7935999999999996</v>
      </c>
      <c r="G184" s="331"/>
      <c r="H184" s="331"/>
      <c r="I184" s="332"/>
    </row>
    <row r="185" spans="3:25">
      <c r="C185" s="333"/>
      <c r="D185" s="310"/>
      <c r="E185" s="314"/>
      <c r="F185" s="334"/>
      <c r="G185" s="334"/>
      <c r="H185" s="334"/>
      <c r="I185" s="334"/>
      <c r="K185" s="311" t="s">
        <v>355</v>
      </c>
      <c r="L185" s="309" t="s">
        <v>336</v>
      </c>
      <c r="M185" s="312" t="s">
        <v>347</v>
      </c>
      <c r="N185" s="309" t="s">
        <v>227</v>
      </c>
      <c r="O185" s="309" t="s">
        <v>348</v>
      </c>
      <c r="P185" s="309" t="s">
        <v>349</v>
      </c>
      <c r="Q185" s="309" t="s">
        <v>350</v>
      </c>
    </row>
    <row r="186" spans="3:25">
      <c r="C186" s="317" t="s">
        <v>356</v>
      </c>
      <c r="D186" s="341">
        <f t="shared" si="53"/>
        <v>1.972</v>
      </c>
      <c r="E186" s="319">
        <f t="shared" ref="E186:E188" si="57">+PRODUCT(F186:I186)</f>
        <v>1.972</v>
      </c>
      <c r="F186" s="320">
        <v>1</v>
      </c>
      <c r="G186" s="320">
        <f>+E163</f>
        <v>3.4</v>
      </c>
      <c r="H186" s="320">
        <f>+E164</f>
        <v>2.9</v>
      </c>
      <c r="I186" s="321">
        <f>+H163</f>
        <v>0.2</v>
      </c>
      <c r="K186" s="312" t="s">
        <v>352</v>
      </c>
      <c r="L186" s="312">
        <f>+E163+0.3*2-0.08</f>
        <v>3.92</v>
      </c>
      <c r="M186" s="312">
        <v>2</v>
      </c>
      <c r="N186" s="312">
        <f>ROUND((E164-0.08)/0.25+1,0)</f>
        <v>12</v>
      </c>
      <c r="O186" s="343">
        <v>0.375</v>
      </c>
      <c r="P186" s="312">
        <v>0.56000000000000005</v>
      </c>
      <c r="Q186" s="313">
        <f>+L186*M186*N186*P186</f>
        <v>52.684800000000003</v>
      </c>
    </row>
    <row r="187" spans="3:25">
      <c r="C187" s="322" t="s">
        <v>353</v>
      </c>
      <c r="D187" s="344">
        <f t="shared" si="53"/>
        <v>0</v>
      </c>
      <c r="E187" s="324">
        <f t="shared" si="57"/>
        <v>0</v>
      </c>
      <c r="F187" s="325">
        <v>0</v>
      </c>
      <c r="G187" s="325">
        <f>+G186*2+H186*2</f>
        <v>12.6</v>
      </c>
      <c r="H187" s="325"/>
      <c r="I187" s="326">
        <f>+I186</f>
        <v>0.2</v>
      </c>
      <c r="K187" s="312" t="s">
        <v>357</v>
      </c>
      <c r="L187" s="312">
        <f>+E164+0.3*2-0.08</f>
        <v>3.42</v>
      </c>
      <c r="M187" s="312">
        <v>2</v>
      </c>
      <c r="N187" s="312">
        <f>ROUND((E163-0.08)/0.25+1,0)</f>
        <v>14</v>
      </c>
      <c r="O187" s="343">
        <v>0.375</v>
      </c>
      <c r="P187" s="312">
        <v>0.56000000000000005</v>
      </c>
      <c r="Q187" s="313">
        <f>+L187*M187*N187*P187</f>
        <v>53.625599999999999</v>
      </c>
    </row>
    <row r="188" spans="3:25">
      <c r="C188" s="328" t="s">
        <v>354</v>
      </c>
      <c r="D188" s="345">
        <f t="shared" si="53"/>
        <v>106.3104</v>
      </c>
      <c r="E188" s="330">
        <f t="shared" si="57"/>
        <v>106.3104</v>
      </c>
      <c r="F188" s="331">
        <f>+Q188</f>
        <v>106.3104</v>
      </c>
      <c r="G188" s="331"/>
      <c r="H188" s="331"/>
      <c r="I188" s="332"/>
      <c r="Q188" s="310">
        <f>SUM(Q186:Q187)</f>
        <v>106.3104</v>
      </c>
    </row>
    <row r="189" spans="3:25">
      <c r="C189" s="333"/>
      <c r="D189" s="310"/>
      <c r="E189" s="314"/>
      <c r="F189" s="334"/>
      <c r="G189" s="334"/>
      <c r="H189" s="334"/>
      <c r="I189" s="334"/>
    </row>
    <row r="190" spans="3:25">
      <c r="C190" s="317" t="s">
        <v>358</v>
      </c>
      <c r="D190" s="341">
        <f t="shared" si="53"/>
        <v>5.9</v>
      </c>
      <c r="E190" s="319">
        <f t="shared" ref="E190:E193" si="58">+PRODUCT(F190:I190)</f>
        <v>5.9</v>
      </c>
      <c r="F190" s="320">
        <v>1</v>
      </c>
      <c r="G190" s="320">
        <f>+E163*2+(E164-2*H164)*2</f>
        <v>11.8</v>
      </c>
      <c r="H190" s="320">
        <f>+H164</f>
        <v>0.2</v>
      </c>
      <c r="I190" s="321">
        <f>+E166</f>
        <v>2.5</v>
      </c>
      <c r="K190" s="311" t="s">
        <v>359</v>
      </c>
      <c r="L190" s="309" t="s">
        <v>336</v>
      </c>
      <c r="M190" s="312" t="s">
        <v>360</v>
      </c>
      <c r="N190" s="309" t="s">
        <v>227</v>
      </c>
      <c r="O190" s="309" t="s">
        <v>348</v>
      </c>
      <c r="P190" s="309" t="s">
        <v>349</v>
      </c>
      <c r="Q190" s="309" t="s">
        <v>350</v>
      </c>
      <c r="S190" s="311" t="s">
        <v>361</v>
      </c>
      <c r="T190" s="309" t="s">
        <v>336</v>
      </c>
      <c r="U190" s="312" t="s">
        <v>360</v>
      </c>
      <c r="V190" s="309" t="s">
        <v>227</v>
      </c>
      <c r="W190" s="309" t="s">
        <v>348</v>
      </c>
      <c r="X190" s="309" t="s">
        <v>349</v>
      </c>
      <c r="Y190" s="309" t="s">
        <v>350</v>
      </c>
    </row>
    <row r="191" spans="3:25">
      <c r="C191" s="322" t="s">
        <v>353</v>
      </c>
      <c r="D191" s="344">
        <f>+E191+E192</f>
        <v>59</v>
      </c>
      <c r="E191" s="324">
        <f t="shared" si="58"/>
        <v>31.5</v>
      </c>
      <c r="F191" s="325">
        <v>1</v>
      </c>
      <c r="G191" s="325">
        <f>+(E163+E164)*2</f>
        <v>12.6</v>
      </c>
      <c r="H191" s="325"/>
      <c r="I191" s="326">
        <f>+I190</f>
        <v>2.5</v>
      </c>
      <c r="K191" s="312" t="s">
        <v>362</v>
      </c>
      <c r="L191" s="312">
        <f>+E163+0.3*2-0.08</f>
        <v>3.92</v>
      </c>
      <c r="M191" s="312">
        <f>2+2</f>
        <v>4</v>
      </c>
      <c r="N191" s="312">
        <f>ROUND((E166-0.08)/0.25+1,0)</f>
        <v>11</v>
      </c>
      <c r="O191" s="343">
        <v>0.375</v>
      </c>
      <c r="P191" s="312">
        <v>0.56000000000000005</v>
      </c>
      <c r="Q191" s="313">
        <f t="shared" ref="Q191:Q192" si="59">+L191*M191*N191*P191</f>
        <v>96.588800000000006</v>
      </c>
      <c r="S191" s="312" t="s">
        <v>362</v>
      </c>
      <c r="T191" s="312">
        <f>+E164+0.3*2-0.08</f>
        <v>3.42</v>
      </c>
      <c r="U191" s="312">
        <f>2+2</f>
        <v>4</v>
      </c>
      <c r="V191" s="312">
        <f>ROUND((E166-0.08)/0.25+1,0)</f>
        <v>11</v>
      </c>
      <c r="W191" s="343">
        <v>0.375</v>
      </c>
      <c r="X191" s="312">
        <v>0.56000000000000005</v>
      </c>
      <c r="Y191" s="313">
        <f t="shared" ref="Y191:Y192" si="60">+T191*U191*V191*X191</f>
        <v>84.268799999999999</v>
      </c>
    </row>
    <row r="192" spans="3:25">
      <c r="C192" s="322"/>
      <c r="D192" s="344"/>
      <c r="E192" s="324">
        <f t="shared" si="58"/>
        <v>27.5</v>
      </c>
      <c r="F192" s="325">
        <v>1</v>
      </c>
      <c r="G192" s="325">
        <f>+(E163-2*H164)*2+(E164-2*H164)*2</f>
        <v>11</v>
      </c>
      <c r="H192" s="325"/>
      <c r="I192" s="326">
        <f>+I191</f>
        <v>2.5</v>
      </c>
      <c r="K192" s="312" t="s">
        <v>363</v>
      </c>
      <c r="L192" s="312">
        <f>+E166+0.3*2-0.04+H165+H163</f>
        <v>3.4600000000000004</v>
      </c>
      <c r="M192" s="312">
        <f>2+2</f>
        <v>4</v>
      </c>
      <c r="N192" s="312">
        <f>ROUND((E163-0.08)/0.25+1,0)</f>
        <v>14</v>
      </c>
      <c r="O192" s="343">
        <v>0.375</v>
      </c>
      <c r="P192" s="312">
        <v>0.56000000000000005</v>
      </c>
      <c r="Q192" s="313">
        <f t="shared" si="59"/>
        <v>108.50560000000002</v>
      </c>
      <c r="S192" s="312" t="s">
        <v>363</v>
      </c>
      <c r="T192" s="312">
        <f>+E166+0.3*2-0.04+H165+H163</f>
        <v>3.4600000000000004</v>
      </c>
      <c r="U192" s="312">
        <f>2+2</f>
        <v>4</v>
      </c>
      <c r="V192" s="312">
        <f>ROUND((E164-0.08)/0.25+1,0)</f>
        <v>12</v>
      </c>
      <c r="W192" s="343">
        <v>0.375</v>
      </c>
      <c r="X192" s="312">
        <v>0.56000000000000005</v>
      </c>
      <c r="Y192" s="313">
        <f t="shared" si="60"/>
        <v>93.004800000000017</v>
      </c>
    </row>
    <row r="193" spans="3:25">
      <c r="C193" s="328" t="s">
        <v>354</v>
      </c>
      <c r="D193" s="345">
        <f t="shared" si="53"/>
        <v>382.36800000000005</v>
      </c>
      <c r="E193" s="330">
        <f t="shared" si="58"/>
        <v>382.36800000000005</v>
      </c>
      <c r="F193" s="331">
        <f>+Q193+Y193</f>
        <v>382.36800000000005</v>
      </c>
      <c r="G193" s="331"/>
      <c r="H193" s="331"/>
      <c r="I193" s="332"/>
      <c r="Q193" s="310">
        <f>SUM(Q191:Q192)</f>
        <v>205.09440000000001</v>
      </c>
      <c r="Y193" s="310">
        <f>SUM(Y191:Y192)</f>
        <v>177.27360000000002</v>
      </c>
    </row>
    <row r="194" spans="3:25">
      <c r="C194" s="346"/>
      <c r="E194" s="314"/>
      <c r="F194" s="334"/>
      <c r="G194" s="334"/>
      <c r="H194" s="334"/>
      <c r="I194" s="334"/>
    </row>
    <row r="195" spans="3:25">
      <c r="C195" s="317" t="s">
        <v>364</v>
      </c>
      <c r="D195" s="341">
        <f>+E195+E196</f>
        <v>1.5720000000000001</v>
      </c>
      <c r="E195" s="319">
        <f t="shared" ref="E195:E201" si="61">+PRODUCT(F195:I195)</f>
        <v>1.972</v>
      </c>
      <c r="F195" s="320">
        <v>1</v>
      </c>
      <c r="G195" s="320">
        <f>+G186</f>
        <v>3.4</v>
      </c>
      <c r="H195" s="320">
        <f>+H186</f>
        <v>2.9</v>
      </c>
      <c r="I195" s="321">
        <f>+H165</f>
        <v>0.2</v>
      </c>
      <c r="K195" s="311" t="s">
        <v>365</v>
      </c>
      <c r="L195" s="309" t="s">
        <v>336</v>
      </c>
      <c r="M195" s="312" t="s">
        <v>347</v>
      </c>
      <c r="N195" s="309" t="s">
        <v>227</v>
      </c>
      <c r="O195" s="309" t="s">
        <v>348</v>
      </c>
      <c r="P195" s="309" t="s">
        <v>349</v>
      </c>
      <c r="Q195" s="309" t="s">
        <v>350</v>
      </c>
    </row>
    <row r="196" spans="3:25">
      <c r="C196" s="322"/>
      <c r="D196" s="344"/>
      <c r="E196" s="324">
        <f t="shared" si="61"/>
        <v>-0.4</v>
      </c>
      <c r="F196" s="325">
        <v>-1</v>
      </c>
      <c r="G196" s="349">
        <v>0.8</v>
      </c>
      <c r="H196" s="349">
        <v>2.5</v>
      </c>
      <c r="I196" s="326">
        <f>+I195</f>
        <v>0.2</v>
      </c>
      <c r="K196" s="312" t="s">
        <v>352</v>
      </c>
      <c r="L196" s="350">
        <f>(E163-0.8)+0.3*2-0.08</f>
        <v>3.1199999999999997</v>
      </c>
      <c r="M196" s="312">
        <v>2</v>
      </c>
      <c r="N196" s="312">
        <f>ROUND((E164-0.08)/0.25+1,0)</f>
        <v>12</v>
      </c>
      <c r="O196" s="343">
        <v>0.375</v>
      </c>
      <c r="P196" s="312">
        <v>0.56000000000000005</v>
      </c>
      <c r="Q196" s="313">
        <f>+L196*M196*N196*P196*1.075</f>
        <v>45.077759999999998</v>
      </c>
    </row>
    <row r="197" spans="3:25">
      <c r="C197" s="322" t="s">
        <v>353</v>
      </c>
      <c r="D197" s="344">
        <f>SUM(E197:E200)</f>
        <v>3.9719999999999995</v>
      </c>
      <c r="E197" s="324">
        <f t="shared" si="61"/>
        <v>1.972</v>
      </c>
      <c r="F197" s="325">
        <v>1</v>
      </c>
      <c r="G197" s="325">
        <f>+G195</f>
        <v>3.4</v>
      </c>
      <c r="H197" s="325">
        <f>+H195</f>
        <v>2.9</v>
      </c>
      <c r="I197" s="326">
        <f>+I195</f>
        <v>0.2</v>
      </c>
      <c r="K197" s="312" t="s">
        <v>357</v>
      </c>
      <c r="L197" s="312">
        <f>+E164+0.3*2-0.08</f>
        <v>3.42</v>
      </c>
      <c r="M197" s="312">
        <v>2</v>
      </c>
      <c r="N197" s="312">
        <f>ROUND((E163-0.08)/0.25+1,0)</f>
        <v>14</v>
      </c>
      <c r="O197" s="343">
        <v>0.375</v>
      </c>
      <c r="P197" s="312">
        <v>0.56000000000000005</v>
      </c>
      <c r="Q197" s="313">
        <f>+L197*M197*N197*P197*1.075</f>
        <v>57.647519999999993</v>
      </c>
    </row>
    <row r="198" spans="3:25">
      <c r="C198" s="322"/>
      <c r="D198" s="344"/>
      <c r="E198" s="324">
        <f t="shared" si="61"/>
        <v>-2</v>
      </c>
      <c r="F198" s="325">
        <v>-1</v>
      </c>
      <c r="G198" s="325">
        <f>+G196</f>
        <v>0.8</v>
      </c>
      <c r="H198" s="325">
        <f>+H196</f>
        <v>2.5</v>
      </c>
      <c r="I198" s="326"/>
      <c r="Q198" s="310">
        <f>SUM(Q196:Q197)</f>
        <v>102.72528</v>
      </c>
    </row>
    <row r="199" spans="3:25">
      <c r="C199" s="322"/>
      <c r="D199" s="344"/>
      <c r="E199" s="324">
        <f t="shared" si="61"/>
        <v>2.8</v>
      </c>
      <c r="F199" s="325">
        <v>1</v>
      </c>
      <c r="G199" s="325">
        <f>+G196*2</f>
        <v>1.6</v>
      </c>
      <c r="H199" s="325">
        <f>+H196*2</f>
        <v>5</v>
      </c>
      <c r="I199" s="347">
        <v>0.35</v>
      </c>
    </row>
    <row r="200" spans="3:25">
      <c r="C200" s="322"/>
      <c r="D200" s="344"/>
      <c r="E200" s="324">
        <f t="shared" si="61"/>
        <v>1.2</v>
      </c>
      <c r="F200" s="325">
        <v>1</v>
      </c>
      <c r="G200" s="325">
        <f>+G199</f>
        <v>1.6</v>
      </c>
      <c r="H200" s="325">
        <f>+H199</f>
        <v>5</v>
      </c>
      <c r="I200" s="347">
        <v>0.15</v>
      </c>
    </row>
    <row r="201" spans="3:25">
      <c r="C201" s="328" t="s">
        <v>354</v>
      </c>
      <c r="D201" s="345">
        <f t="shared" si="53"/>
        <v>102.72528</v>
      </c>
      <c r="E201" s="330">
        <f t="shared" si="61"/>
        <v>102.72528</v>
      </c>
      <c r="F201" s="331">
        <f>+Q198</f>
        <v>102.72528</v>
      </c>
      <c r="G201" s="331"/>
      <c r="H201" s="331"/>
      <c r="I201" s="332"/>
    </row>
    <row r="202" spans="3:25">
      <c r="C202" s="346"/>
      <c r="E202" s="314"/>
      <c r="F202" s="334"/>
      <c r="G202" s="334"/>
      <c r="H202" s="334"/>
      <c r="I202" s="334"/>
    </row>
    <row r="203" spans="3:25">
      <c r="C203" s="335" t="s">
        <v>366</v>
      </c>
      <c r="D203" s="336">
        <f t="shared" si="53"/>
        <v>27.5</v>
      </c>
      <c r="E203" s="337">
        <f t="shared" ref="E203" si="62">+PRODUCT(F203:I203)</f>
        <v>27.5</v>
      </c>
      <c r="F203" s="338">
        <v>1</v>
      </c>
      <c r="G203" s="338">
        <f>+G192</f>
        <v>11</v>
      </c>
      <c r="H203" s="338"/>
      <c r="I203" s="339">
        <f>+I190</f>
        <v>2.5</v>
      </c>
    </row>
    <row r="204" spans="3:25">
      <c r="C204" s="346"/>
      <c r="E204" s="314"/>
      <c r="F204" s="334"/>
      <c r="G204" s="334"/>
      <c r="H204" s="334"/>
      <c r="I204" s="334"/>
    </row>
    <row r="205" spans="3:25">
      <c r="C205" s="335" t="s">
        <v>367</v>
      </c>
      <c r="D205" s="336">
        <f t="shared" si="53"/>
        <v>7.5</v>
      </c>
      <c r="E205" s="337">
        <f t="shared" ref="E205" si="63">+PRODUCT(F205:I205)</f>
        <v>7.5</v>
      </c>
      <c r="F205" s="338">
        <v>1</v>
      </c>
      <c r="G205" s="338">
        <f>+G169-2*H164</f>
        <v>3</v>
      </c>
      <c r="H205" s="338">
        <f>+H169-2*H164</f>
        <v>2.5</v>
      </c>
      <c r="I205" s="339"/>
    </row>
    <row r="206" spans="3:25">
      <c r="C206" s="346"/>
      <c r="E206" s="314"/>
      <c r="F206" s="334"/>
      <c r="G206" s="334"/>
      <c r="H206" s="334"/>
      <c r="I206" s="334"/>
    </row>
    <row r="207" spans="3:25">
      <c r="C207" s="335" t="s">
        <v>368</v>
      </c>
      <c r="D207" s="336">
        <f t="shared" si="53"/>
        <v>2.5</v>
      </c>
      <c r="E207" s="337">
        <f t="shared" ref="E207" si="64">+PRODUCT(F207:I207)</f>
        <v>2.5</v>
      </c>
      <c r="F207" s="338">
        <v>1</v>
      </c>
      <c r="G207" s="338">
        <f>+E166</f>
        <v>2.5</v>
      </c>
      <c r="H207" s="338"/>
      <c r="I207" s="339"/>
    </row>
    <row r="208" spans="3:25">
      <c r="C208" s="346"/>
      <c r="E208" s="314"/>
      <c r="F208" s="334"/>
      <c r="G208" s="334"/>
      <c r="H208" s="334"/>
      <c r="I208" s="334"/>
    </row>
    <row r="209" spans="3:13">
      <c r="C209" s="335" t="s">
        <v>369</v>
      </c>
      <c r="D209" s="336">
        <f t="shared" si="53"/>
        <v>1</v>
      </c>
      <c r="E209" s="337">
        <f t="shared" ref="E209" si="65">+PRODUCT(F209:I209)</f>
        <v>1</v>
      </c>
      <c r="F209" s="338">
        <v>1</v>
      </c>
      <c r="G209" s="348">
        <v>1</v>
      </c>
      <c r="H209" s="338"/>
      <c r="I209" s="339"/>
    </row>
    <row r="210" spans="3:13">
      <c r="C210" s="346"/>
      <c r="E210" s="314"/>
      <c r="F210" s="334"/>
      <c r="G210" s="334"/>
      <c r="H210" s="334"/>
      <c r="I210" s="334"/>
    </row>
    <row r="211" spans="3:13">
      <c r="C211" s="335" t="s">
        <v>370</v>
      </c>
      <c r="D211" s="336">
        <f t="shared" si="53"/>
        <v>1</v>
      </c>
      <c r="E211" s="337">
        <f t="shared" ref="E211" si="66">+PRODUCT(F211:I211)</f>
        <v>1</v>
      </c>
      <c r="F211" s="338">
        <v>1</v>
      </c>
      <c r="G211" s="348">
        <v>1</v>
      </c>
      <c r="H211" s="338"/>
      <c r="I211" s="339"/>
    </row>
    <row r="213" spans="3:13" s="376" customFormat="1" ht="21">
      <c r="C213" s="372" t="s">
        <v>374</v>
      </c>
      <c r="D213" s="373"/>
      <c r="E213" s="373"/>
      <c r="F213" s="373"/>
      <c r="G213" s="373"/>
      <c r="H213" s="373"/>
      <c r="I213" s="374"/>
      <c r="J213" s="375"/>
    </row>
    <row r="214" spans="3:13">
      <c r="C214" s="316"/>
      <c r="D214" s="314" t="s">
        <v>375</v>
      </c>
      <c r="E214" s="314">
        <v>0.95</v>
      </c>
      <c r="F214" s="314"/>
      <c r="G214" s="314" t="s">
        <v>330</v>
      </c>
      <c r="H214" s="314">
        <v>0.2</v>
      </c>
      <c r="M214" s="312">
        <v>1.84</v>
      </c>
    </row>
    <row r="215" spans="3:13">
      <c r="C215" s="316"/>
      <c r="D215" s="314" t="s">
        <v>331</v>
      </c>
      <c r="E215" s="314"/>
      <c r="F215" s="314"/>
      <c r="G215" s="314" t="s">
        <v>332</v>
      </c>
      <c r="H215" s="314">
        <v>0.2</v>
      </c>
      <c r="M215" s="312">
        <v>0.2</v>
      </c>
    </row>
    <row r="216" spans="3:13">
      <c r="C216" s="316"/>
      <c r="D216" s="314" t="s">
        <v>333</v>
      </c>
      <c r="E216" s="314">
        <v>3.95</v>
      </c>
      <c r="F216" s="314"/>
      <c r="G216" s="314" t="s">
        <v>334</v>
      </c>
      <c r="H216" s="314">
        <v>0.2</v>
      </c>
      <c r="M216" s="312">
        <f>+AVERAGE(M214:M215)</f>
        <v>1.02</v>
      </c>
    </row>
    <row r="217" spans="3:13">
      <c r="C217" s="316"/>
      <c r="D217" s="314" t="s">
        <v>335</v>
      </c>
      <c r="E217" s="314">
        <v>3.45</v>
      </c>
      <c r="F217" s="314"/>
      <c r="G217" s="314"/>
      <c r="H217" s="314"/>
    </row>
    <row r="218" spans="3:13">
      <c r="C218" s="316"/>
    </row>
    <row r="219" spans="3:13">
      <c r="F219" s="313" t="s">
        <v>227</v>
      </c>
      <c r="G219" s="313" t="s">
        <v>4</v>
      </c>
      <c r="H219" s="313" t="s">
        <v>226</v>
      </c>
      <c r="I219" s="313" t="s">
        <v>2</v>
      </c>
    </row>
    <row r="220" spans="3:13">
      <c r="C220" s="317" t="s">
        <v>337</v>
      </c>
      <c r="D220" s="318">
        <f>+E220</f>
        <v>2.8352873698647882</v>
      </c>
      <c r="E220" s="319">
        <f>F220*PI()*G220^2</f>
        <v>2.8352873698647882</v>
      </c>
      <c r="F220" s="320">
        <v>1</v>
      </c>
      <c r="G220" s="320">
        <f>+E214</f>
        <v>0.95</v>
      </c>
      <c r="H220" s="320">
        <f>+E215</f>
        <v>0</v>
      </c>
      <c r="I220" s="321"/>
    </row>
    <row r="221" spans="3:13">
      <c r="C221" s="322" t="s">
        <v>338</v>
      </c>
      <c r="D221" s="323">
        <f t="shared" ref="D221" si="67">+E221</f>
        <v>2.8352873698647882</v>
      </c>
      <c r="E221" s="324">
        <f>F221*PI()*G221^2</f>
        <v>2.8352873698647882</v>
      </c>
      <c r="F221" s="325">
        <f t="shared" ref="F221:H222" si="68">+F220</f>
        <v>1</v>
      </c>
      <c r="G221" s="325">
        <f t="shared" si="68"/>
        <v>0.95</v>
      </c>
      <c r="H221" s="325">
        <f t="shared" si="68"/>
        <v>0</v>
      </c>
      <c r="I221" s="326"/>
    </row>
    <row r="222" spans="3:13">
      <c r="C222" s="322" t="s">
        <v>339</v>
      </c>
      <c r="D222" s="323">
        <f>SUM(E222:E224)</f>
        <v>25.501092967351752</v>
      </c>
      <c r="E222" s="324">
        <f>I222*F222*PI()*G222^2</f>
        <v>11.199385110965913</v>
      </c>
      <c r="F222" s="325">
        <f t="shared" si="68"/>
        <v>1</v>
      </c>
      <c r="G222" s="325">
        <f t="shared" si="68"/>
        <v>0.95</v>
      </c>
      <c r="H222" s="325">
        <f t="shared" si="68"/>
        <v>0</v>
      </c>
      <c r="I222" s="326">
        <f>+E216</f>
        <v>3.95</v>
      </c>
    </row>
    <row r="223" spans="3:13">
      <c r="C223" s="327" t="s">
        <v>340</v>
      </c>
      <c r="D223" s="324"/>
      <c r="E223" s="324">
        <f>I223*F223*PI()*(G223^2-E214)</f>
        <v>14.301707856385837</v>
      </c>
      <c r="F223" s="325">
        <v>1</v>
      </c>
      <c r="G223" s="325">
        <f>+G222+0.5</f>
        <v>1.45</v>
      </c>
      <c r="H223" s="325">
        <v>0.5</v>
      </c>
      <c r="I223" s="326">
        <f>+I222</f>
        <v>3.95</v>
      </c>
    </row>
    <row r="224" spans="3:13">
      <c r="C224" s="327"/>
      <c r="D224" s="324"/>
      <c r="E224" s="324">
        <f t="shared" ref="E224:E227" si="69">+PRODUCT(F224:I224)</f>
        <v>0</v>
      </c>
      <c r="F224" s="325">
        <v>0</v>
      </c>
      <c r="G224" s="325">
        <f>+G222</f>
        <v>0.95</v>
      </c>
      <c r="H224" s="325"/>
      <c r="I224" s="326">
        <v>1</v>
      </c>
    </row>
    <row r="225" spans="3:17">
      <c r="C225" s="322" t="s">
        <v>341</v>
      </c>
      <c r="D225" s="323">
        <f>+E225</f>
        <v>2.8352873698647882</v>
      </c>
      <c r="E225" s="324">
        <f>F225*PI()*G225^2</f>
        <v>2.8352873698647882</v>
      </c>
      <c r="F225" s="325">
        <f>+F222</f>
        <v>1</v>
      </c>
      <c r="G225" s="325">
        <f>+G222</f>
        <v>0.95</v>
      </c>
      <c r="H225" s="325">
        <f>+H222</f>
        <v>0</v>
      </c>
      <c r="I225" s="326"/>
    </row>
    <row r="226" spans="3:17">
      <c r="C226" s="322" t="s">
        <v>342</v>
      </c>
      <c r="D226" s="323">
        <f t="shared" ref="D226:D262" si="70">+E226</f>
        <v>14.301707856385837</v>
      </c>
      <c r="E226" s="324">
        <f t="shared" si="69"/>
        <v>14.301707856385837</v>
      </c>
      <c r="F226" s="325">
        <f>+E223</f>
        <v>14.301707856385837</v>
      </c>
      <c r="G226" s="325"/>
      <c r="H226" s="325"/>
      <c r="I226" s="326"/>
    </row>
    <row r="227" spans="3:17">
      <c r="C227" s="328" t="s">
        <v>343</v>
      </c>
      <c r="D227" s="329">
        <f t="shared" si="70"/>
        <v>11.199385110965915</v>
      </c>
      <c r="E227" s="330">
        <f t="shared" si="69"/>
        <v>11.199385110965915</v>
      </c>
      <c r="F227" s="331">
        <f>+D222-D226</f>
        <v>11.199385110965915</v>
      </c>
      <c r="G227" s="331"/>
      <c r="H227" s="331"/>
      <c r="I227" s="332"/>
      <c r="M227" s="312" t="s">
        <v>376</v>
      </c>
      <c r="N227" s="312">
        <f>+E214*2*PI()</f>
        <v>5.9690260418206069</v>
      </c>
    </row>
    <row r="228" spans="3:17">
      <c r="C228" s="333"/>
      <c r="D228" s="310"/>
      <c r="E228" s="314"/>
      <c r="F228" s="334"/>
      <c r="G228" s="334"/>
      <c r="H228" s="334"/>
      <c r="I228" s="334"/>
    </row>
    <row r="229" spans="3:17">
      <c r="C229" s="335" t="s">
        <v>344</v>
      </c>
      <c r="D229" s="336">
        <f t="shared" si="70"/>
        <v>0</v>
      </c>
      <c r="E229" s="337">
        <f t="shared" ref="E229" si="71">+PRODUCT(F229:I229)</f>
        <v>0</v>
      </c>
      <c r="F229" s="338">
        <v>0</v>
      </c>
      <c r="G229" s="338">
        <v>0.3</v>
      </c>
      <c r="H229" s="338">
        <v>0.3</v>
      </c>
      <c r="I229" s="339">
        <v>0.7</v>
      </c>
    </row>
    <row r="230" spans="3:17">
      <c r="C230" s="333"/>
      <c r="D230" s="310"/>
      <c r="E230" s="314"/>
      <c r="F230" s="334"/>
      <c r="G230" s="334"/>
      <c r="H230" s="334"/>
      <c r="I230" s="334"/>
    </row>
    <row r="231" spans="3:17">
      <c r="C231" s="335" t="s">
        <v>345</v>
      </c>
      <c r="D231" s="336">
        <f t="shared" si="70"/>
        <v>0.28352873698647885</v>
      </c>
      <c r="E231" s="319">
        <f>F231*PI()*G231^2*I231</f>
        <v>0.28352873698647885</v>
      </c>
      <c r="F231" s="338">
        <f>+F220</f>
        <v>1</v>
      </c>
      <c r="G231" s="338">
        <f>+G220</f>
        <v>0.95</v>
      </c>
      <c r="H231" s="338">
        <f>+H220</f>
        <v>0</v>
      </c>
      <c r="I231" s="339">
        <v>0.1</v>
      </c>
    </row>
    <row r="232" spans="3:17">
      <c r="C232" s="333"/>
      <c r="D232" s="340"/>
      <c r="F232" s="334"/>
      <c r="G232" s="334"/>
      <c r="H232" s="334"/>
      <c r="I232" s="334"/>
      <c r="K232" s="311" t="s">
        <v>346</v>
      </c>
      <c r="L232" s="309" t="s">
        <v>336</v>
      </c>
      <c r="M232" s="312" t="s">
        <v>347</v>
      </c>
      <c r="N232" s="309" t="s">
        <v>227</v>
      </c>
      <c r="O232" s="309" t="s">
        <v>348</v>
      </c>
      <c r="P232" s="309" t="s">
        <v>349</v>
      </c>
      <c r="Q232" s="309" t="s">
        <v>350</v>
      </c>
    </row>
    <row r="233" spans="3:17">
      <c r="C233" s="317" t="s">
        <v>351</v>
      </c>
      <c r="D233" s="341">
        <f t="shared" si="70"/>
        <v>9.9839999999999998E-2</v>
      </c>
      <c r="E233" s="319">
        <f t="shared" ref="E233:E235" si="72">+PRODUCT(F233:I233)</f>
        <v>9.9839999999999998E-2</v>
      </c>
      <c r="F233" s="320">
        <v>1</v>
      </c>
      <c r="G233" s="342">
        <v>0.52</v>
      </c>
      <c r="H233" s="320">
        <v>0.4</v>
      </c>
      <c r="I233" s="321">
        <v>0.48</v>
      </c>
      <c r="K233" s="312" t="s">
        <v>352</v>
      </c>
      <c r="L233" s="312">
        <f>+G233+0.3*2-0.08</f>
        <v>1.04</v>
      </c>
      <c r="M233" s="351">
        <v>2.4</v>
      </c>
      <c r="N233" s="312">
        <f>ROUND((G233-0.08)/0.15+1,0)</f>
        <v>4</v>
      </c>
      <c r="O233" s="343">
        <v>0.375</v>
      </c>
      <c r="P233" s="312">
        <v>0.56000000000000005</v>
      </c>
      <c r="Q233" s="313">
        <f>+L233*M233*N233*P233</f>
        <v>5.5910400000000005</v>
      </c>
    </row>
    <row r="234" spans="3:17">
      <c r="C234" s="322" t="s">
        <v>353</v>
      </c>
      <c r="D234" s="344">
        <f t="shared" si="70"/>
        <v>1.0752000000000002</v>
      </c>
      <c r="E234" s="324">
        <f t="shared" si="72"/>
        <v>1.0752000000000002</v>
      </c>
      <c r="F234" s="325">
        <v>1</v>
      </c>
      <c r="G234" s="325">
        <f>0.37*2+0.4+0.15*2+0.4*2</f>
        <v>2.2400000000000002</v>
      </c>
      <c r="H234" s="325"/>
      <c r="I234" s="326">
        <v>0.48</v>
      </c>
    </row>
    <row r="235" spans="3:17">
      <c r="C235" s="328" t="s">
        <v>354</v>
      </c>
      <c r="D235" s="345">
        <f t="shared" si="70"/>
        <v>5.5910400000000005</v>
      </c>
      <c r="E235" s="330">
        <f t="shared" si="72"/>
        <v>5.5910400000000005</v>
      </c>
      <c r="F235" s="331">
        <f>+Q233</f>
        <v>5.5910400000000005</v>
      </c>
      <c r="G235" s="331"/>
      <c r="H235" s="331"/>
      <c r="I235" s="332"/>
    </row>
    <row r="236" spans="3:17">
      <c r="C236" s="333"/>
      <c r="D236" s="310"/>
      <c r="E236" s="314"/>
      <c r="F236" s="334"/>
      <c r="G236" s="334"/>
      <c r="H236" s="334"/>
      <c r="I236" s="334"/>
      <c r="K236" s="311" t="s">
        <v>355</v>
      </c>
      <c r="L236" s="309" t="s">
        <v>336</v>
      </c>
      <c r="M236" s="312" t="s">
        <v>347</v>
      </c>
      <c r="N236" s="309" t="s">
        <v>227</v>
      </c>
      <c r="O236" s="309" t="s">
        <v>348</v>
      </c>
      <c r="P236" s="309" t="s">
        <v>349</v>
      </c>
      <c r="Q236" s="309" t="s">
        <v>350</v>
      </c>
    </row>
    <row r="237" spans="3:17">
      <c r="C237" s="317" t="s">
        <v>356</v>
      </c>
      <c r="D237" s="341">
        <f t="shared" si="70"/>
        <v>0.56705747397295769</v>
      </c>
      <c r="E237" s="319">
        <f>I237*F237*PI()*G237^2</f>
        <v>0.56705747397295769</v>
      </c>
      <c r="F237" s="320">
        <v>1</v>
      </c>
      <c r="G237" s="320">
        <f>+E214</f>
        <v>0.95</v>
      </c>
      <c r="H237" s="320">
        <f>+E215</f>
        <v>0</v>
      </c>
      <c r="I237" s="321">
        <f>+H214</f>
        <v>0.2</v>
      </c>
      <c r="K237" s="312" t="s">
        <v>352</v>
      </c>
      <c r="L237" s="312">
        <f>+E214+0.3*2-0.08</f>
        <v>1.4699999999999998</v>
      </c>
      <c r="M237" s="312">
        <v>0</v>
      </c>
      <c r="N237" s="312">
        <f>ROUND((E215-0.08)/0.25+1,0)</f>
        <v>1</v>
      </c>
      <c r="O237" s="343">
        <v>0.375</v>
      </c>
      <c r="P237" s="312">
        <v>0.56000000000000005</v>
      </c>
      <c r="Q237" s="313">
        <f>+L237*M237*N237*P237</f>
        <v>0</v>
      </c>
    </row>
    <row r="238" spans="3:17">
      <c r="C238" s="322" t="s">
        <v>353</v>
      </c>
      <c r="D238" s="344">
        <f t="shared" si="70"/>
        <v>0</v>
      </c>
      <c r="E238" s="324">
        <f t="shared" ref="E238:E239" si="73">+PRODUCT(F238:I238)</f>
        <v>0</v>
      </c>
      <c r="F238" s="325">
        <v>0</v>
      </c>
      <c r="G238" s="325">
        <f>+G237*2+H237*2</f>
        <v>1.9</v>
      </c>
      <c r="H238" s="325"/>
      <c r="I238" s="326">
        <f>+I237</f>
        <v>0.2</v>
      </c>
      <c r="K238" s="312" t="s">
        <v>357</v>
      </c>
      <c r="L238" s="312">
        <f>+E215+0.3*2-0.08</f>
        <v>0.52</v>
      </c>
      <c r="M238" s="312">
        <v>0</v>
      </c>
      <c r="N238" s="312">
        <f>ROUND((E214-0.08)/0.25+1,0)</f>
        <v>4</v>
      </c>
      <c r="O238" s="343">
        <v>0.375</v>
      </c>
      <c r="P238" s="312">
        <v>0.56000000000000005</v>
      </c>
      <c r="Q238" s="313">
        <f>+L238*M238*N238*P238</f>
        <v>0</v>
      </c>
    </row>
    <row r="239" spans="3:17">
      <c r="C239" s="328" t="s">
        <v>354</v>
      </c>
      <c r="D239" s="345">
        <f t="shared" si="70"/>
        <v>0</v>
      </c>
      <c r="E239" s="330">
        <f t="shared" si="73"/>
        <v>0</v>
      </c>
      <c r="F239" s="331">
        <f>+Q239</f>
        <v>0</v>
      </c>
      <c r="G239" s="331"/>
      <c r="H239" s="331"/>
      <c r="I239" s="332"/>
      <c r="Q239" s="310">
        <f>SUM(Q237:Q238)</f>
        <v>0</v>
      </c>
    </row>
    <row r="240" spans="3:17">
      <c r="C240" s="333"/>
      <c r="D240" s="310"/>
      <c r="E240" s="314"/>
      <c r="F240" s="334"/>
      <c r="G240" s="334"/>
      <c r="H240" s="334"/>
      <c r="I240" s="334"/>
    </row>
    <row r="241" spans="3:25">
      <c r="C241" s="317" t="s">
        <v>358</v>
      </c>
      <c r="D241" s="341">
        <f t="shared" si="70"/>
        <v>3.6850881826608273</v>
      </c>
      <c r="E241" s="319">
        <f>+F241*2*PI()*G241*H241*I241</f>
        <v>3.6850881826608273</v>
      </c>
      <c r="F241" s="320">
        <v>1</v>
      </c>
      <c r="G241" s="320">
        <f>+AVERAGE(E214,(E214-H215))</f>
        <v>0.85</v>
      </c>
      <c r="H241" s="320">
        <f>+H215</f>
        <v>0.2</v>
      </c>
      <c r="I241" s="321">
        <f>+E217</f>
        <v>3.45</v>
      </c>
      <c r="K241" s="311" t="s">
        <v>359</v>
      </c>
      <c r="L241" s="309" t="s">
        <v>336</v>
      </c>
      <c r="M241" s="312" t="s">
        <v>360</v>
      </c>
      <c r="N241" s="309" t="s">
        <v>227</v>
      </c>
      <c r="O241" s="309" t="s">
        <v>348</v>
      </c>
      <c r="P241" s="309" t="s">
        <v>349</v>
      </c>
      <c r="Q241" s="309" t="s">
        <v>350</v>
      </c>
      <c r="S241" s="311"/>
      <c r="T241" s="309"/>
      <c r="V241" s="309"/>
      <c r="W241" s="309"/>
      <c r="X241" s="309"/>
      <c r="Y241" s="309"/>
    </row>
    <row r="242" spans="3:25">
      <c r="C242" s="322" t="s">
        <v>353</v>
      </c>
      <c r="D242" s="344">
        <f>+E242+E243</f>
        <v>18.425440913304136</v>
      </c>
      <c r="E242" s="324">
        <f>+F242*2*PI()*G242*I242</f>
        <v>18.425440913304136</v>
      </c>
      <c r="F242" s="325">
        <v>1</v>
      </c>
      <c r="G242" s="325">
        <f>+G241</f>
        <v>0.85</v>
      </c>
      <c r="H242" s="325"/>
      <c r="I242" s="326">
        <f>+I241</f>
        <v>3.45</v>
      </c>
      <c r="K242" s="312" t="s">
        <v>362</v>
      </c>
      <c r="L242" s="313">
        <f>+N227</f>
        <v>5.9690260418206069</v>
      </c>
      <c r="M242" s="312">
        <v>1</v>
      </c>
      <c r="N242" s="312">
        <f>ROUND((E217-0.08)/0.25+1,0)</f>
        <v>14</v>
      </c>
      <c r="O242" s="343">
        <v>0.375</v>
      </c>
      <c r="P242" s="312">
        <v>0.56000000000000005</v>
      </c>
      <c r="Q242" s="313">
        <f t="shared" ref="Q242:Q243" si="74">+L242*M242*N242*P242</f>
        <v>46.797164167873568</v>
      </c>
      <c r="W242" s="343"/>
      <c r="Y242" s="313"/>
    </row>
    <row r="243" spans="3:25">
      <c r="C243" s="322"/>
      <c r="D243" s="344"/>
      <c r="E243" s="324">
        <f t="shared" ref="E243:E244" si="75">+PRODUCT(F243:I243)</f>
        <v>0</v>
      </c>
      <c r="F243" s="325">
        <v>0</v>
      </c>
      <c r="G243" s="325">
        <f>+(E214-2*H215)*2+(E215-2*H215)*2</f>
        <v>0.29999999999999982</v>
      </c>
      <c r="H243" s="325"/>
      <c r="I243" s="326">
        <f>+I242</f>
        <v>3.45</v>
      </c>
      <c r="K243" s="312" t="s">
        <v>363</v>
      </c>
      <c r="L243" s="313">
        <f>+E217+H216+H214+0.6-0.08</f>
        <v>4.37</v>
      </c>
      <c r="M243" s="312">
        <v>1</v>
      </c>
      <c r="N243" s="312">
        <f>ROUND((N227-0.08)/0.25+1,0)</f>
        <v>25</v>
      </c>
      <c r="O243" s="343">
        <v>0.375</v>
      </c>
      <c r="P243" s="312">
        <v>0.56000000000000005</v>
      </c>
      <c r="Q243" s="313">
        <f t="shared" si="74"/>
        <v>61.180000000000007</v>
      </c>
      <c r="W243" s="343"/>
      <c r="Y243" s="313"/>
    </row>
    <row r="244" spans="3:25">
      <c r="C244" s="328" t="s">
        <v>354</v>
      </c>
      <c r="D244" s="345">
        <f t="shared" si="70"/>
        <v>107.97716416787358</v>
      </c>
      <c r="E244" s="330">
        <f t="shared" si="75"/>
        <v>107.97716416787358</v>
      </c>
      <c r="F244" s="331">
        <f>+Q244+Y244</f>
        <v>107.97716416787358</v>
      </c>
      <c r="G244" s="331"/>
      <c r="H244" s="331"/>
      <c r="I244" s="332"/>
      <c r="Q244" s="310">
        <f>SUM(Q242:Q243)</f>
        <v>107.97716416787358</v>
      </c>
      <c r="Y244" s="310"/>
    </row>
    <row r="245" spans="3:25">
      <c r="C245" s="346"/>
      <c r="E245" s="314"/>
      <c r="F245" s="334"/>
      <c r="G245" s="334"/>
      <c r="H245" s="334"/>
      <c r="I245" s="334"/>
    </row>
    <row r="246" spans="3:25">
      <c r="C246" s="317" t="s">
        <v>364</v>
      </c>
      <c r="D246" s="341">
        <f>+E246+E247</f>
        <v>0.19006635554218249</v>
      </c>
      <c r="E246" s="319">
        <f>+E237</f>
        <v>0.56705747397295769</v>
      </c>
      <c r="F246" s="320">
        <v>0</v>
      </c>
      <c r="G246" s="320">
        <f>+G237</f>
        <v>0.95</v>
      </c>
      <c r="H246" s="320"/>
      <c r="I246" s="321">
        <f>+H216</f>
        <v>0.2</v>
      </c>
      <c r="K246" s="311" t="s">
        <v>365</v>
      </c>
      <c r="L246" s="309" t="s">
        <v>377</v>
      </c>
      <c r="M246" s="312" t="s">
        <v>347</v>
      </c>
      <c r="N246" s="309" t="s">
        <v>227</v>
      </c>
      <c r="O246" s="309" t="s">
        <v>348</v>
      </c>
      <c r="P246" s="309" t="s">
        <v>349</v>
      </c>
      <c r="Q246" s="309" t="s">
        <v>350</v>
      </c>
    </row>
    <row r="247" spans="3:25">
      <c r="C247" s="322"/>
      <c r="D247" s="344"/>
      <c r="E247" s="324">
        <f t="shared" ref="E247:E252" si="76">+PRODUCT(F247:I247)</f>
        <v>-0.37699111843077521</v>
      </c>
      <c r="F247" s="325">
        <v>-1</v>
      </c>
      <c r="G247" s="349">
        <f>2*PI()*0.3</f>
        <v>1.8849555921538759</v>
      </c>
      <c r="H247" s="349"/>
      <c r="I247" s="326">
        <f>+I246</f>
        <v>0.2</v>
      </c>
      <c r="K247" s="312" t="s">
        <v>352</v>
      </c>
      <c r="L247" s="350">
        <v>1.05</v>
      </c>
      <c r="M247" s="312">
        <v>1</v>
      </c>
      <c r="N247" s="312">
        <v>13</v>
      </c>
      <c r="O247" s="343">
        <v>0.375</v>
      </c>
      <c r="P247" s="312">
        <v>0.56000000000000005</v>
      </c>
      <c r="Q247" s="313">
        <f>+L247*M247*N247*P247*1.075</f>
        <v>8.2173000000000016</v>
      </c>
    </row>
    <row r="248" spans="3:25">
      <c r="C248" s="322" t="s">
        <v>353</v>
      </c>
      <c r="D248" s="344">
        <f>SUM(E248:E251)</f>
        <v>1.4844025288211773</v>
      </c>
      <c r="E248" s="324">
        <f>+F248*PI()*G248^2</f>
        <v>1.7671458676442586</v>
      </c>
      <c r="F248" s="325">
        <v>1</v>
      </c>
      <c r="G248" s="325">
        <f>+G246-H215</f>
        <v>0.75</v>
      </c>
      <c r="H248" s="325"/>
      <c r="I248" s="326"/>
      <c r="K248" s="312" t="s">
        <v>357</v>
      </c>
      <c r="L248" s="312">
        <v>1.05</v>
      </c>
      <c r="M248" s="312">
        <v>1</v>
      </c>
      <c r="N248" s="312">
        <v>13</v>
      </c>
      <c r="O248" s="343">
        <v>0.375</v>
      </c>
      <c r="P248" s="312">
        <v>0.56000000000000005</v>
      </c>
      <c r="Q248" s="313">
        <f>+L248*M248*N248*P248*1.075</f>
        <v>8.2173000000000016</v>
      </c>
    </row>
    <row r="249" spans="3:25">
      <c r="C249" s="322"/>
      <c r="D249" s="344"/>
      <c r="E249" s="324">
        <f>+F249*PI()*G249^2</f>
        <v>-0.28274333882308139</v>
      </c>
      <c r="F249" s="325">
        <v>-1</v>
      </c>
      <c r="G249" s="325">
        <v>0.3</v>
      </c>
      <c r="H249" s="325"/>
      <c r="I249" s="326"/>
      <c r="L249" s="312">
        <f>+L248</f>
        <v>1.05</v>
      </c>
      <c r="M249" s="312">
        <v>1</v>
      </c>
      <c r="N249" s="312">
        <v>2</v>
      </c>
      <c r="O249" s="343">
        <v>0.5</v>
      </c>
      <c r="P249" s="312">
        <v>0.99</v>
      </c>
      <c r="Q249" s="313">
        <f>+L249*M249*N249*P249*1.075</f>
        <v>2.2349250000000001</v>
      </c>
    </row>
    <row r="250" spans="3:25">
      <c r="C250" s="322"/>
      <c r="D250" s="344"/>
      <c r="E250" s="324">
        <f t="shared" si="76"/>
        <v>0</v>
      </c>
      <c r="F250" s="325">
        <v>1</v>
      </c>
      <c r="G250" s="325">
        <f>+G247*2</f>
        <v>3.7699111843077517</v>
      </c>
      <c r="H250" s="325">
        <f>+H247*2</f>
        <v>0</v>
      </c>
      <c r="I250" s="347">
        <v>0.35</v>
      </c>
      <c r="Q250" s="310">
        <f>SUM(Q247:Q249)</f>
        <v>18.669525000000004</v>
      </c>
    </row>
    <row r="251" spans="3:25">
      <c r="C251" s="322"/>
      <c r="D251" s="344"/>
      <c r="E251" s="324">
        <f t="shared" si="76"/>
        <v>0</v>
      </c>
      <c r="F251" s="325">
        <v>1</v>
      </c>
      <c r="G251" s="325">
        <f>+G250</f>
        <v>3.7699111843077517</v>
      </c>
      <c r="H251" s="325">
        <f>+H250</f>
        <v>0</v>
      </c>
      <c r="I251" s="347">
        <v>0.15</v>
      </c>
    </row>
    <row r="252" spans="3:25">
      <c r="C252" s="328" t="s">
        <v>354</v>
      </c>
      <c r="D252" s="345">
        <f t="shared" si="70"/>
        <v>18.669525000000004</v>
      </c>
      <c r="E252" s="330">
        <f t="shared" si="76"/>
        <v>18.669525000000004</v>
      </c>
      <c r="F252" s="331">
        <f>+Q250</f>
        <v>18.669525000000004</v>
      </c>
      <c r="G252" s="331"/>
      <c r="H252" s="331"/>
      <c r="I252" s="332"/>
    </row>
    <row r="253" spans="3:25">
      <c r="C253" s="346"/>
      <c r="E253" s="314"/>
      <c r="F253" s="334"/>
      <c r="G253" s="334"/>
      <c r="H253" s="334"/>
      <c r="I253" s="334"/>
    </row>
    <row r="254" spans="3:25">
      <c r="C254" s="335" t="s">
        <v>366</v>
      </c>
      <c r="D254" s="336">
        <f t="shared" si="70"/>
        <v>16.257741982327179</v>
      </c>
      <c r="E254" s="337">
        <f>+F254*2*PI()*G254*I254</f>
        <v>16.257741982327179</v>
      </c>
      <c r="F254" s="338">
        <v>1</v>
      </c>
      <c r="G254" s="338">
        <f>+G248</f>
        <v>0.75</v>
      </c>
      <c r="H254" s="338"/>
      <c r="I254" s="339">
        <f>+I241</f>
        <v>3.45</v>
      </c>
    </row>
    <row r="255" spans="3:25">
      <c r="C255" s="346"/>
      <c r="E255" s="314"/>
      <c r="F255" s="334"/>
      <c r="G255" s="334"/>
      <c r="H255" s="334"/>
      <c r="I255" s="334"/>
    </row>
    <row r="256" spans="3:25">
      <c r="C256" s="335" t="s">
        <v>367</v>
      </c>
      <c r="D256" s="336">
        <f t="shared" si="70"/>
        <v>4.7123889803846897</v>
      </c>
      <c r="E256" s="337">
        <f>+F256*2*PI()*G256</f>
        <v>4.7123889803846897</v>
      </c>
      <c r="F256" s="338">
        <v>1</v>
      </c>
      <c r="G256" s="338">
        <f>+G254</f>
        <v>0.75</v>
      </c>
      <c r="H256" s="338"/>
      <c r="I256" s="339"/>
    </row>
    <row r="257" spans="3:9">
      <c r="C257" s="346"/>
      <c r="E257" s="314"/>
      <c r="F257" s="334"/>
      <c r="G257" s="334"/>
      <c r="H257" s="334"/>
      <c r="I257" s="334"/>
    </row>
    <row r="258" spans="3:9">
      <c r="C258" s="335" t="s">
        <v>368</v>
      </c>
      <c r="D258" s="336">
        <f t="shared" si="70"/>
        <v>3.45</v>
      </c>
      <c r="E258" s="337">
        <f t="shared" ref="E258" si="77">+PRODUCT(F258:I258)</f>
        <v>3.45</v>
      </c>
      <c r="F258" s="338">
        <v>1</v>
      </c>
      <c r="G258" s="338">
        <f>+E217</f>
        <v>3.45</v>
      </c>
      <c r="H258" s="338"/>
      <c r="I258" s="339"/>
    </row>
    <row r="259" spans="3:9">
      <c r="C259" s="346"/>
      <c r="E259" s="314"/>
      <c r="F259" s="334"/>
      <c r="G259" s="334"/>
      <c r="H259" s="334"/>
      <c r="I259" s="334"/>
    </row>
    <row r="260" spans="3:9">
      <c r="C260" s="335" t="s">
        <v>369</v>
      </c>
      <c r="D260" s="336">
        <f t="shared" si="70"/>
        <v>1</v>
      </c>
      <c r="E260" s="337">
        <f t="shared" ref="E260" si="78">+PRODUCT(F260:I260)</f>
        <v>1</v>
      </c>
      <c r="F260" s="338">
        <v>1</v>
      </c>
      <c r="G260" s="348">
        <v>1</v>
      </c>
      <c r="H260" s="338"/>
      <c r="I260" s="339"/>
    </row>
    <row r="261" spans="3:9">
      <c r="C261" s="346"/>
      <c r="E261" s="314"/>
      <c r="F261" s="334"/>
      <c r="G261" s="334"/>
      <c r="H261" s="334"/>
      <c r="I261" s="334"/>
    </row>
    <row r="262" spans="3:9">
      <c r="C262" s="335" t="s">
        <v>370</v>
      </c>
      <c r="D262" s="336">
        <f t="shared" si="70"/>
        <v>1</v>
      </c>
      <c r="E262" s="337">
        <f t="shared" ref="E262" si="79">+PRODUCT(F262:I262)</f>
        <v>1</v>
      </c>
      <c r="F262" s="338">
        <v>1</v>
      </c>
      <c r="G262" s="348">
        <v>1</v>
      </c>
      <c r="H262" s="338"/>
      <c r="I262" s="339"/>
    </row>
  </sheetData>
  <mergeCells count="5">
    <mergeCell ref="C2:I2"/>
    <mergeCell ref="D3:I3"/>
    <mergeCell ref="D4:I4"/>
    <mergeCell ref="D5:I5"/>
    <mergeCell ref="D6:I6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rowBreaks count="4" manualBreakCount="4">
    <brk id="58" min="1" max="9" man="1"/>
    <brk id="109" min="1" max="9" man="1"/>
    <brk id="161" min="1" max="9" man="1"/>
    <brk id="212" min="1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219"/>
  <sheetViews>
    <sheetView showGridLines="0" view="pageBreakPreview" zoomScale="70" zoomScaleNormal="100" zoomScaleSheetLayoutView="70" workbookViewId="0">
      <selection activeCell="M13" sqref="M13"/>
    </sheetView>
  </sheetViews>
  <sheetFormatPr baseColWidth="10" defaultColWidth="11.44140625" defaultRowHeight="12"/>
  <cols>
    <col min="1" max="1" width="11.44140625" style="312" customWidth="1"/>
    <col min="2" max="2" width="1.5546875" style="312" customWidth="1"/>
    <col min="3" max="3" width="14.33203125" style="312" customWidth="1"/>
    <col min="4" max="8" width="14.33203125" style="313" customWidth="1"/>
    <col min="9" max="9" width="14.33203125" style="315" customWidth="1"/>
    <col min="10" max="10" width="1.6640625" style="313" customWidth="1"/>
    <col min="11" max="16384" width="11.44140625" style="312"/>
  </cols>
  <sheetData>
    <row r="2" spans="3:9" ht="12.6" thickBot="1"/>
    <row r="3" spans="3:9" ht="28.5" customHeight="1" thickBot="1">
      <c r="C3" s="773" t="s">
        <v>122</v>
      </c>
      <c r="D3" s="774"/>
      <c r="E3" s="774"/>
      <c r="F3" s="774"/>
      <c r="G3" s="774"/>
      <c r="H3" s="774"/>
      <c r="I3" s="775"/>
    </row>
    <row r="4" spans="3:9" ht="28.5" customHeight="1">
      <c r="C4" s="371" t="s">
        <v>123</v>
      </c>
      <c r="D4" s="776" t="s">
        <v>263</v>
      </c>
      <c r="E4" s="776"/>
      <c r="F4" s="776"/>
      <c r="G4" s="776"/>
      <c r="H4" s="776"/>
      <c r="I4" s="777"/>
    </row>
    <row r="5" spans="3:9" ht="28.5" customHeight="1">
      <c r="C5" s="13" t="s">
        <v>131</v>
      </c>
      <c r="D5" s="705" t="s">
        <v>264</v>
      </c>
      <c r="E5" s="705"/>
      <c r="F5" s="705"/>
      <c r="G5" s="705"/>
      <c r="H5" s="705"/>
      <c r="I5" s="706"/>
    </row>
    <row r="6" spans="3:9" ht="28.5" customHeight="1">
      <c r="C6" s="13" t="s">
        <v>125</v>
      </c>
      <c r="D6" s="705" t="s">
        <v>126</v>
      </c>
      <c r="E6" s="705"/>
      <c r="F6" s="705"/>
      <c r="G6" s="705"/>
      <c r="H6" s="705"/>
      <c r="I6" s="706"/>
    </row>
    <row r="7" spans="3:9" ht="28.5" customHeight="1" thickBot="1">
      <c r="C7" s="14" t="s">
        <v>127</v>
      </c>
      <c r="D7" s="778" t="s">
        <v>265</v>
      </c>
      <c r="E7" s="778"/>
      <c r="F7" s="778"/>
      <c r="G7" s="778"/>
      <c r="H7" s="778"/>
      <c r="I7" s="779"/>
    </row>
    <row r="9" spans="3:9" s="375" customFormat="1" ht="21">
      <c r="C9" s="372" t="s">
        <v>379</v>
      </c>
      <c r="D9" s="373"/>
      <c r="E9" s="373"/>
      <c r="F9" s="373"/>
      <c r="G9" s="373"/>
      <c r="H9" s="373"/>
      <c r="I9" s="374"/>
    </row>
    <row r="10" spans="3:9" s="313" customFormat="1">
      <c r="C10" s="316"/>
      <c r="D10" s="314" t="s">
        <v>329</v>
      </c>
      <c r="E10" s="314">
        <v>2.6</v>
      </c>
      <c r="F10" s="314"/>
      <c r="G10" s="314" t="s">
        <v>330</v>
      </c>
      <c r="H10" s="314">
        <v>0.2</v>
      </c>
      <c r="I10" s="315"/>
    </row>
    <row r="11" spans="3:9" s="313" customFormat="1">
      <c r="C11" s="316"/>
      <c r="D11" s="314" t="s">
        <v>331</v>
      </c>
      <c r="E11" s="314">
        <v>2</v>
      </c>
      <c r="F11" s="314"/>
      <c r="G11" s="314" t="s">
        <v>332</v>
      </c>
      <c r="H11" s="314">
        <v>0.2</v>
      </c>
      <c r="I11" s="315"/>
    </row>
    <row r="12" spans="3:9" s="313" customFormat="1">
      <c r="C12" s="316"/>
      <c r="D12" s="314" t="s">
        <v>333</v>
      </c>
      <c r="E12" s="314">
        <v>2</v>
      </c>
      <c r="F12" s="314"/>
      <c r="G12" s="314" t="s">
        <v>334</v>
      </c>
      <c r="H12" s="314">
        <v>0.2</v>
      </c>
      <c r="I12" s="315"/>
    </row>
    <row r="13" spans="3:9" s="313" customFormat="1">
      <c r="C13" s="316"/>
      <c r="D13" s="314" t="s">
        <v>335</v>
      </c>
      <c r="E13" s="314">
        <v>1.5</v>
      </c>
      <c r="F13" s="314"/>
      <c r="G13" s="314"/>
      <c r="H13" s="314"/>
      <c r="I13" s="315"/>
    </row>
    <row r="14" spans="3:9" s="313" customFormat="1">
      <c r="C14" s="316"/>
      <c r="I14" s="315"/>
    </row>
    <row r="15" spans="3:9" s="313" customFormat="1">
      <c r="C15" s="312"/>
      <c r="F15" s="313" t="s">
        <v>227</v>
      </c>
      <c r="G15" s="313" t="s">
        <v>336</v>
      </c>
      <c r="H15" s="313" t="s">
        <v>226</v>
      </c>
      <c r="I15" s="313" t="s">
        <v>2</v>
      </c>
    </row>
    <row r="16" spans="3:9">
      <c r="C16" s="317" t="s">
        <v>337</v>
      </c>
      <c r="D16" s="318">
        <f>+E16</f>
        <v>5.2</v>
      </c>
      <c r="E16" s="319">
        <f>+PRODUCT(F16:I16)</f>
        <v>5.2</v>
      </c>
      <c r="F16" s="320">
        <v>1</v>
      </c>
      <c r="G16" s="320">
        <f>+E10</f>
        <v>2.6</v>
      </c>
      <c r="H16" s="320">
        <f>+E11</f>
        <v>2</v>
      </c>
      <c r="I16" s="321"/>
    </row>
    <row r="17" spans="3:17">
      <c r="C17" s="322" t="s">
        <v>338</v>
      </c>
      <c r="D17" s="323">
        <f t="shared" ref="D17" si="0">+E17</f>
        <v>5.2</v>
      </c>
      <c r="E17" s="324">
        <f t="shared" ref="E17:E23" si="1">+PRODUCT(F17:I17)</f>
        <v>5.2</v>
      </c>
      <c r="F17" s="325">
        <f t="shared" ref="F17:H18" si="2">+F16</f>
        <v>1</v>
      </c>
      <c r="G17" s="325">
        <f t="shared" si="2"/>
        <v>2.6</v>
      </c>
      <c r="H17" s="325">
        <f t="shared" si="2"/>
        <v>2</v>
      </c>
      <c r="I17" s="326"/>
    </row>
    <row r="18" spans="3:17">
      <c r="C18" s="322" t="s">
        <v>339</v>
      </c>
      <c r="D18" s="323">
        <f>SUM(E18:E20)</f>
        <v>16.73</v>
      </c>
      <c r="E18" s="324">
        <f t="shared" si="1"/>
        <v>10.4</v>
      </c>
      <c r="F18" s="325">
        <f t="shared" si="2"/>
        <v>1</v>
      </c>
      <c r="G18" s="325">
        <f t="shared" si="2"/>
        <v>2.6</v>
      </c>
      <c r="H18" s="325">
        <f t="shared" si="2"/>
        <v>2</v>
      </c>
      <c r="I18" s="326">
        <f>+E12</f>
        <v>2</v>
      </c>
    </row>
    <row r="19" spans="3:17">
      <c r="C19" s="327" t="s">
        <v>340</v>
      </c>
      <c r="D19" s="324"/>
      <c r="E19" s="324">
        <f t="shared" si="1"/>
        <v>6.24</v>
      </c>
      <c r="F19" s="325">
        <v>1</v>
      </c>
      <c r="G19" s="325">
        <f>+(G18*2+1.2)+H18*2</f>
        <v>10.4</v>
      </c>
      <c r="H19" s="325">
        <v>0.3</v>
      </c>
      <c r="I19" s="326">
        <f>+I18</f>
        <v>2</v>
      </c>
    </row>
    <row r="20" spans="3:17">
      <c r="C20" s="327"/>
      <c r="D20" s="324"/>
      <c r="E20" s="324">
        <f t="shared" si="1"/>
        <v>0.09</v>
      </c>
      <c r="F20" s="325">
        <v>1</v>
      </c>
      <c r="G20" s="325">
        <v>0.3</v>
      </c>
      <c r="H20" s="325">
        <v>0.3</v>
      </c>
      <c r="I20" s="326">
        <v>1</v>
      </c>
    </row>
    <row r="21" spans="3:17">
      <c r="C21" s="322" t="s">
        <v>341</v>
      </c>
      <c r="D21" s="323">
        <f>+E21</f>
        <v>5.2</v>
      </c>
      <c r="E21" s="324">
        <f t="shared" si="1"/>
        <v>5.2</v>
      </c>
      <c r="F21" s="325">
        <f>+F18</f>
        <v>1</v>
      </c>
      <c r="G21" s="325">
        <f>+G18</f>
        <v>2.6</v>
      </c>
      <c r="H21" s="325">
        <f>+H18</f>
        <v>2</v>
      </c>
      <c r="I21" s="326"/>
    </row>
    <row r="22" spans="3:17">
      <c r="C22" s="322" t="s">
        <v>342</v>
      </c>
      <c r="D22" s="323">
        <f t="shared" ref="D22:D23" si="3">+E22</f>
        <v>6.24</v>
      </c>
      <c r="E22" s="324">
        <f t="shared" si="1"/>
        <v>6.24</v>
      </c>
      <c r="F22" s="325">
        <f>+E19</f>
        <v>6.24</v>
      </c>
      <c r="G22" s="325"/>
      <c r="H22" s="325"/>
      <c r="I22" s="326"/>
    </row>
    <row r="23" spans="3:17">
      <c r="C23" s="328" t="s">
        <v>343</v>
      </c>
      <c r="D23" s="329">
        <f t="shared" si="3"/>
        <v>10.49</v>
      </c>
      <c r="E23" s="330">
        <f t="shared" si="1"/>
        <v>10.49</v>
      </c>
      <c r="F23" s="331">
        <f>+D18-D22</f>
        <v>10.49</v>
      </c>
      <c r="G23" s="331"/>
      <c r="H23" s="331"/>
      <c r="I23" s="332"/>
    </row>
    <row r="24" spans="3:17">
      <c r="C24" s="333"/>
      <c r="D24" s="310"/>
      <c r="E24" s="314"/>
      <c r="F24" s="334"/>
      <c r="G24" s="334"/>
      <c r="H24" s="334"/>
      <c r="I24" s="334"/>
    </row>
    <row r="25" spans="3:17">
      <c r="C25" s="335" t="s">
        <v>344</v>
      </c>
      <c r="D25" s="336">
        <f t="shared" ref="D25" si="4">+E25</f>
        <v>6.3E-2</v>
      </c>
      <c r="E25" s="337">
        <f t="shared" ref="E25" si="5">+PRODUCT(F25:I25)</f>
        <v>6.3E-2</v>
      </c>
      <c r="F25" s="338">
        <v>1</v>
      </c>
      <c r="G25" s="338">
        <v>0.3</v>
      </c>
      <c r="H25" s="338">
        <v>0.3</v>
      </c>
      <c r="I25" s="339">
        <v>0.7</v>
      </c>
    </row>
    <row r="26" spans="3:17">
      <c r="C26" s="333"/>
      <c r="D26" s="310"/>
      <c r="E26" s="314"/>
      <c r="F26" s="334"/>
      <c r="G26" s="334"/>
      <c r="H26" s="334"/>
      <c r="I26" s="334"/>
    </row>
    <row r="27" spans="3:17">
      <c r="C27" s="335" t="s">
        <v>345</v>
      </c>
      <c r="D27" s="336">
        <f t="shared" ref="D27" si="6">+E27</f>
        <v>0.52</v>
      </c>
      <c r="E27" s="337">
        <f t="shared" ref="E27" si="7">+PRODUCT(F27:I27)</f>
        <v>0.52</v>
      </c>
      <c r="F27" s="338">
        <f>+F16</f>
        <v>1</v>
      </c>
      <c r="G27" s="338">
        <f>+G16</f>
        <v>2.6</v>
      </c>
      <c r="H27" s="338">
        <f>+H16</f>
        <v>2</v>
      </c>
      <c r="I27" s="339">
        <v>0.1</v>
      </c>
    </row>
    <row r="28" spans="3:17">
      <c r="C28" s="333"/>
      <c r="D28" s="340"/>
      <c r="F28" s="334"/>
      <c r="G28" s="334"/>
      <c r="H28" s="334"/>
      <c r="I28" s="334"/>
      <c r="K28" s="311" t="s">
        <v>346</v>
      </c>
      <c r="L28" s="309" t="s">
        <v>336</v>
      </c>
      <c r="M28" s="312" t="s">
        <v>347</v>
      </c>
      <c r="N28" s="309" t="s">
        <v>227</v>
      </c>
      <c r="O28" s="309" t="s">
        <v>348</v>
      </c>
      <c r="P28" s="309" t="s">
        <v>349</v>
      </c>
      <c r="Q28" s="309" t="s">
        <v>350</v>
      </c>
    </row>
    <row r="29" spans="3:17">
      <c r="C29" s="317" t="s">
        <v>351</v>
      </c>
      <c r="D29" s="341">
        <f t="shared" ref="D29:D31" si="8">+E29</f>
        <v>5.4450000000000005E-2</v>
      </c>
      <c r="E29" s="319">
        <f t="shared" ref="E29:E31" si="9">+PRODUCT(F29:I29)</f>
        <v>5.4450000000000005E-2</v>
      </c>
      <c r="F29" s="320">
        <v>1</v>
      </c>
      <c r="G29" s="342">
        <v>0.55000000000000004</v>
      </c>
      <c r="H29" s="320">
        <v>0.22</v>
      </c>
      <c r="I29" s="321">
        <v>0.45</v>
      </c>
      <c r="K29" s="312" t="s">
        <v>352</v>
      </c>
      <c r="L29" s="312">
        <f>+G29+0.3*2-0.08</f>
        <v>1.0699999999999998</v>
      </c>
      <c r="M29" s="312">
        <v>2</v>
      </c>
      <c r="N29" s="312">
        <f>ROUND((G29-0.08)/0.15+1,0)</f>
        <v>4</v>
      </c>
      <c r="O29" s="343">
        <v>0.375</v>
      </c>
      <c r="P29" s="312">
        <v>0.56000000000000005</v>
      </c>
      <c r="Q29" s="313">
        <f>+L29*M29*N29*P29</f>
        <v>4.7935999999999996</v>
      </c>
    </row>
    <row r="30" spans="3:17">
      <c r="C30" s="322" t="s">
        <v>353</v>
      </c>
      <c r="D30" s="344">
        <f t="shared" si="8"/>
        <v>0.73919999999999997</v>
      </c>
      <c r="E30" s="324">
        <f t="shared" si="9"/>
        <v>0.73919999999999997</v>
      </c>
      <c r="F30" s="325">
        <v>1</v>
      </c>
      <c r="G30" s="325">
        <f>+G29*2+H29*2</f>
        <v>1.54</v>
      </c>
      <c r="H30" s="325"/>
      <c r="I30" s="326">
        <v>0.48</v>
      </c>
    </row>
    <row r="31" spans="3:17">
      <c r="C31" s="328" t="s">
        <v>354</v>
      </c>
      <c r="D31" s="345">
        <f t="shared" si="8"/>
        <v>4.7935999999999996</v>
      </c>
      <c r="E31" s="330">
        <f t="shared" si="9"/>
        <v>4.7935999999999996</v>
      </c>
      <c r="F31" s="331">
        <f>+Q29</f>
        <v>4.7935999999999996</v>
      </c>
      <c r="G31" s="331"/>
      <c r="H31" s="331"/>
      <c r="I31" s="332"/>
    </row>
    <row r="32" spans="3:17">
      <c r="C32" s="333"/>
      <c r="D32" s="310"/>
      <c r="E32" s="314"/>
      <c r="F32" s="334"/>
      <c r="G32" s="334"/>
      <c r="H32" s="334"/>
      <c r="I32" s="334"/>
      <c r="K32" s="311" t="s">
        <v>355</v>
      </c>
      <c r="L32" s="309" t="s">
        <v>336</v>
      </c>
      <c r="M32" s="312" t="s">
        <v>347</v>
      </c>
      <c r="N32" s="309" t="s">
        <v>227</v>
      </c>
      <c r="O32" s="309" t="s">
        <v>348</v>
      </c>
      <c r="P32" s="309" t="s">
        <v>349</v>
      </c>
      <c r="Q32" s="309" t="s">
        <v>350</v>
      </c>
    </row>
    <row r="33" spans="3:25">
      <c r="C33" s="317" t="s">
        <v>356</v>
      </c>
      <c r="D33" s="341">
        <f t="shared" ref="D33:D35" si="10">+E33</f>
        <v>1.04</v>
      </c>
      <c r="E33" s="319">
        <f t="shared" ref="E33:E35" si="11">+PRODUCT(F33:I33)</f>
        <v>1.04</v>
      </c>
      <c r="F33" s="320">
        <v>1</v>
      </c>
      <c r="G33" s="320">
        <f>+E10</f>
        <v>2.6</v>
      </c>
      <c r="H33" s="320">
        <f>+E11</f>
        <v>2</v>
      </c>
      <c r="I33" s="321">
        <f>+H10</f>
        <v>0.2</v>
      </c>
      <c r="K33" s="312" t="s">
        <v>352</v>
      </c>
      <c r="L33" s="312">
        <f>+E10+0.3*2-0.08</f>
        <v>3.12</v>
      </c>
      <c r="M33" s="312">
        <v>2</v>
      </c>
      <c r="N33" s="312">
        <f>ROUND((E11-0.08)/0.25+1,0)</f>
        <v>9</v>
      </c>
      <c r="O33" s="343">
        <v>0.375</v>
      </c>
      <c r="P33" s="312">
        <v>0.56000000000000005</v>
      </c>
      <c r="Q33" s="313">
        <f>+L33*M33*N33*P33</f>
        <v>31.449600000000004</v>
      </c>
    </row>
    <row r="34" spans="3:25">
      <c r="C34" s="322" t="s">
        <v>353</v>
      </c>
      <c r="D34" s="344">
        <f t="shared" si="10"/>
        <v>1.8399999999999999</v>
      </c>
      <c r="E34" s="324">
        <f t="shared" si="11"/>
        <v>1.8399999999999999</v>
      </c>
      <c r="F34" s="325">
        <v>1</v>
      </c>
      <c r="G34" s="325">
        <f>+G33*2+H33*2</f>
        <v>9.1999999999999993</v>
      </c>
      <c r="H34" s="325"/>
      <c r="I34" s="326">
        <f>+I33</f>
        <v>0.2</v>
      </c>
      <c r="K34" s="312" t="s">
        <v>357</v>
      </c>
      <c r="L34" s="312">
        <f>+E11+0.3*2-0.08</f>
        <v>2.52</v>
      </c>
      <c r="M34" s="312">
        <v>2</v>
      </c>
      <c r="N34" s="312">
        <f>ROUND((E10-0.08)/0.25+1,0)</f>
        <v>11</v>
      </c>
      <c r="O34" s="343">
        <v>0.375</v>
      </c>
      <c r="P34" s="312">
        <v>0.56000000000000005</v>
      </c>
      <c r="Q34" s="313">
        <f>+L34*M34*N34*P34</f>
        <v>31.046400000000002</v>
      </c>
    </row>
    <row r="35" spans="3:25">
      <c r="C35" s="328" t="s">
        <v>354</v>
      </c>
      <c r="D35" s="345">
        <f t="shared" si="10"/>
        <v>62.496000000000009</v>
      </c>
      <c r="E35" s="330">
        <f t="shared" si="11"/>
        <v>62.496000000000009</v>
      </c>
      <c r="F35" s="331">
        <f>+Q35</f>
        <v>62.496000000000009</v>
      </c>
      <c r="G35" s="331"/>
      <c r="H35" s="331"/>
      <c r="I35" s="332"/>
      <c r="Q35" s="310">
        <f>SUM(Q33:Q34)</f>
        <v>62.496000000000009</v>
      </c>
    </row>
    <row r="36" spans="3:25">
      <c r="C36" s="333"/>
      <c r="D36" s="310"/>
      <c r="E36" s="314"/>
      <c r="F36" s="334"/>
      <c r="G36" s="334"/>
      <c r="H36" s="334"/>
      <c r="I36" s="334"/>
    </row>
    <row r="37" spans="3:25">
      <c r="C37" s="317" t="s">
        <v>358</v>
      </c>
      <c r="D37" s="341">
        <f t="shared" ref="D37" si="12">+E37</f>
        <v>2.5200000000000005</v>
      </c>
      <c r="E37" s="319">
        <f t="shared" ref="E37:E40" si="13">+PRODUCT(F37:I37)</f>
        <v>2.5200000000000005</v>
      </c>
      <c r="F37" s="320">
        <v>1</v>
      </c>
      <c r="G37" s="320">
        <f>+E10*2+(E11-2*H11)*2</f>
        <v>8.4</v>
      </c>
      <c r="H37" s="320">
        <f>+H11</f>
        <v>0.2</v>
      </c>
      <c r="I37" s="321">
        <f>+E13</f>
        <v>1.5</v>
      </c>
      <c r="K37" s="311" t="s">
        <v>359</v>
      </c>
      <c r="L37" s="309" t="s">
        <v>336</v>
      </c>
      <c r="M37" s="312" t="s">
        <v>360</v>
      </c>
      <c r="N37" s="309" t="s">
        <v>227</v>
      </c>
      <c r="O37" s="309" t="s">
        <v>348</v>
      </c>
      <c r="P37" s="309" t="s">
        <v>349</v>
      </c>
      <c r="Q37" s="309" t="s">
        <v>350</v>
      </c>
      <c r="S37" s="311" t="s">
        <v>361</v>
      </c>
      <c r="T37" s="309" t="s">
        <v>336</v>
      </c>
      <c r="U37" s="312" t="s">
        <v>360</v>
      </c>
      <c r="V37" s="309" t="s">
        <v>227</v>
      </c>
      <c r="W37" s="309" t="s">
        <v>348</v>
      </c>
      <c r="X37" s="309" t="s">
        <v>349</v>
      </c>
      <c r="Y37" s="309" t="s">
        <v>350</v>
      </c>
    </row>
    <row r="38" spans="3:25">
      <c r="C38" s="322" t="s">
        <v>353</v>
      </c>
      <c r="D38" s="344">
        <f>+E38+E39</f>
        <v>25.2</v>
      </c>
      <c r="E38" s="324">
        <f t="shared" si="13"/>
        <v>13.799999999999999</v>
      </c>
      <c r="F38" s="325">
        <v>1</v>
      </c>
      <c r="G38" s="325">
        <f>+(E10+E11)*2</f>
        <v>9.1999999999999993</v>
      </c>
      <c r="H38" s="325"/>
      <c r="I38" s="326">
        <f>+I37</f>
        <v>1.5</v>
      </c>
      <c r="K38" s="312" t="s">
        <v>362</v>
      </c>
      <c r="L38" s="312">
        <f>+E10+0.3*2-0.08</f>
        <v>3.12</v>
      </c>
      <c r="M38" s="312">
        <f>2+2</f>
        <v>4</v>
      </c>
      <c r="N38" s="312">
        <f>ROUND((E13-0.08)/0.25+1,0)</f>
        <v>7</v>
      </c>
      <c r="O38" s="343">
        <v>0.375</v>
      </c>
      <c r="P38" s="312">
        <v>0.56000000000000005</v>
      </c>
      <c r="Q38" s="313">
        <f t="shared" ref="Q38:Q39" si="14">+L38*M38*N38*P38</f>
        <v>48.921600000000005</v>
      </c>
      <c r="S38" s="312" t="s">
        <v>362</v>
      </c>
      <c r="T38" s="312">
        <f>+E11+0.3*2-0.08</f>
        <v>2.52</v>
      </c>
      <c r="U38" s="312">
        <f>2+2</f>
        <v>4</v>
      </c>
      <c r="V38" s="312">
        <f>ROUND((E13-0.08)/0.25+1,0)</f>
        <v>7</v>
      </c>
      <c r="W38" s="343">
        <v>0.375</v>
      </c>
      <c r="X38" s="312">
        <v>0.56000000000000005</v>
      </c>
      <c r="Y38" s="313">
        <f t="shared" ref="Y38:Y39" si="15">+T38*U38*V38*X38</f>
        <v>39.513600000000004</v>
      </c>
    </row>
    <row r="39" spans="3:25">
      <c r="C39" s="322"/>
      <c r="D39" s="344"/>
      <c r="E39" s="324">
        <f t="shared" si="13"/>
        <v>11.4</v>
      </c>
      <c r="F39" s="325">
        <v>1</v>
      </c>
      <c r="G39" s="325">
        <f>+(E10-2*H11)*2+(E11-2*H11)*2</f>
        <v>7.6000000000000005</v>
      </c>
      <c r="H39" s="325"/>
      <c r="I39" s="326">
        <f>+I38</f>
        <v>1.5</v>
      </c>
      <c r="K39" s="312" t="s">
        <v>363</v>
      </c>
      <c r="L39" s="312">
        <f>+E13+0.3*2-0.04+H12+H10</f>
        <v>2.4600000000000004</v>
      </c>
      <c r="M39" s="312">
        <f>2+2</f>
        <v>4</v>
      </c>
      <c r="N39" s="312">
        <f>ROUND((E10-0.08)/0.25+1,0)</f>
        <v>11</v>
      </c>
      <c r="O39" s="343">
        <v>0.375</v>
      </c>
      <c r="P39" s="312">
        <v>0.56000000000000005</v>
      </c>
      <c r="Q39" s="313">
        <f t="shared" si="14"/>
        <v>60.614400000000018</v>
      </c>
      <c r="S39" s="312" t="s">
        <v>363</v>
      </c>
      <c r="T39" s="312">
        <f>+E13+0.3*2-0.04+H12+H10</f>
        <v>2.4600000000000004</v>
      </c>
      <c r="U39" s="312">
        <f>2+2</f>
        <v>4</v>
      </c>
      <c r="V39" s="312">
        <f>ROUND((E11-0.08)/0.25+1,0)</f>
        <v>9</v>
      </c>
      <c r="W39" s="343">
        <v>0.375</v>
      </c>
      <c r="X39" s="312">
        <v>0.56000000000000005</v>
      </c>
      <c r="Y39" s="313">
        <f t="shared" si="15"/>
        <v>49.593600000000016</v>
      </c>
    </row>
    <row r="40" spans="3:25">
      <c r="C40" s="328" t="s">
        <v>354</v>
      </c>
      <c r="D40" s="345">
        <f t="shared" ref="D40" si="16">+E40</f>
        <v>198.64320000000004</v>
      </c>
      <c r="E40" s="330">
        <f t="shared" si="13"/>
        <v>198.64320000000004</v>
      </c>
      <c r="F40" s="331">
        <f>+Q40+Y40</f>
        <v>198.64320000000004</v>
      </c>
      <c r="G40" s="331"/>
      <c r="H40" s="331"/>
      <c r="I40" s="332"/>
      <c r="Q40" s="310">
        <f>SUM(Q38:Q39)</f>
        <v>109.53600000000003</v>
      </c>
      <c r="Y40" s="310">
        <f>SUM(Y38:Y39)</f>
        <v>89.10720000000002</v>
      </c>
    </row>
    <row r="41" spans="3:25">
      <c r="C41" s="346"/>
      <c r="E41" s="314"/>
      <c r="F41" s="334"/>
      <c r="G41" s="334"/>
      <c r="H41" s="334"/>
      <c r="I41" s="334"/>
    </row>
    <row r="42" spans="3:25">
      <c r="C42" s="317" t="s">
        <v>364</v>
      </c>
      <c r="D42" s="341">
        <f>+E42+E43</f>
        <v>0.98345133223538372</v>
      </c>
      <c r="E42" s="319">
        <f t="shared" ref="E42:E48" si="17">+PRODUCT(F42:I42)</f>
        <v>1.04</v>
      </c>
      <c r="F42" s="320">
        <v>1</v>
      </c>
      <c r="G42" s="320">
        <f>+G33</f>
        <v>2.6</v>
      </c>
      <c r="H42" s="320">
        <f>+H33</f>
        <v>2</v>
      </c>
      <c r="I42" s="321">
        <f>+H12</f>
        <v>0.2</v>
      </c>
      <c r="K42" s="311" t="s">
        <v>365</v>
      </c>
      <c r="L42" s="309" t="s">
        <v>336</v>
      </c>
      <c r="M42" s="312" t="s">
        <v>347</v>
      </c>
      <c r="N42" s="309" t="s">
        <v>227</v>
      </c>
      <c r="O42" s="309" t="s">
        <v>348</v>
      </c>
      <c r="P42" s="309" t="s">
        <v>349</v>
      </c>
      <c r="Q42" s="309" t="s">
        <v>350</v>
      </c>
    </row>
    <row r="43" spans="3:25">
      <c r="C43" s="322"/>
      <c r="D43" s="344"/>
      <c r="E43" s="324">
        <f t="shared" si="17"/>
        <v>-5.6548667764616284E-2</v>
      </c>
      <c r="F43" s="325">
        <v>-1</v>
      </c>
      <c r="G43" s="325">
        <f>+PI()*0.3^2</f>
        <v>0.28274333882308139</v>
      </c>
      <c r="H43" s="325"/>
      <c r="I43" s="326">
        <f>+I42</f>
        <v>0.2</v>
      </c>
      <c r="K43" s="312" t="s">
        <v>352</v>
      </c>
      <c r="L43" s="312">
        <f>+E10+0.3*2-0.08</f>
        <v>3.12</v>
      </c>
      <c r="M43" s="312">
        <v>2</v>
      </c>
      <c r="N43" s="312">
        <f>ROUND((E11-0.08)/0.25+1,0)</f>
        <v>9</v>
      </c>
      <c r="O43" s="343">
        <v>0.375</v>
      </c>
      <c r="P43" s="312">
        <v>0.56000000000000005</v>
      </c>
      <c r="Q43" s="313">
        <f>+L43*M43*N43*P43*1.05</f>
        <v>33.022080000000003</v>
      </c>
    </row>
    <row r="44" spans="3:25">
      <c r="C44" s="322" t="s">
        <v>353</v>
      </c>
      <c r="D44" s="344">
        <f>SUM(E44:E47)</f>
        <v>1.6054866776461627</v>
      </c>
      <c r="E44" s="324">
        <f t="shared" si="17"/>
        <v>1.04</v>
      </c>
      <c r="F44" s="325">
        <v>1</v>
      </c>
      <c r="G44" s="325">
        <f>+G42</f>
        <v>2.6</v>
      </c>
      <c r="H44" s="325">
        <f>+H42</f>
        <v>2</v>
      </c>
      <c r="I44" s="326">
        <f>+I42</f>
        <v>0.2</v>
      </c>
      <c r="K44" s="312" t="s">
        <v>357</v>
      </c>
      <c r="L44" s="312">
        <f>+E11+0.3*2-0.08</f>
        <v>2.52</v>
      </c>
      <c r="M44" s="312">
        <v>2</v>
      </c>
      <c r="N44" s="312">
        <f>ROUND((E10-0.08)/0.25+1,0)</f>
        <v>11</v>
      </c>
      <c r="O44" s="343">
        <v>0.375</v>
      </c>
      <c r="P44" s="312">
        <v>0.56000000000000005</v>
      </c>
      <c r="Q44" s="313">
        <f>+L44*M44*N44*P44*1.05</f>
        <v>32.59872</v>
      </c>
    </row>
    <row r="45" spans="3:25">
      <c r="C45" s="322"/>
      <c r="D45" s="344"/>
      <c r="E45" s="324">
        <f t="shared" si="17"/>
        <v>-0.28274333882308139</v>
      </c>
      <c r="F45" s="325">
        <v>-1</v>
      </c>
      <c r="G45" s="325">
        <f>+G43</f>
        <v>0.28274333882308139</v>
      </c>
      <c r="H45" s="325"/>
      <c r="I45" s="326"/>
      <c r="Q45" s="310">
        <f>SUM(Q43:Q44)</f>
        <v>65.620800000000003</v>
      </c>
    </row>
    <row r="46" spans="3:25">
      <c r="C46" s="322"/>
      <c r="D46" s="344"/>
      <c r="E46" s="324">
        <f t="shared" si="17"/>
        <v>0.37699111843077515</v>
      </c>
      <c r="F46" s="325">
        <v>1</v>
      </c>
      <c r="G46" s="325">
        <f>2*PI()*0.3</f>
        <v>1.8849555921538759</v>
      </c>
      <c r="H46" s="325"/>
      <c r="I46" s="326">
        <f>+E12-E13-H10-0.1</f>
        <v>0.19999999999999998</v>
      </c>
    </row>
    <row r="47" spans="3:25">
      <c r="C47" s="322"/>
      <c r="D47" s="344"/>
      <c r="E47" s="324">
        <f t="shared" si="17"/>
        <v>0.47123889803846897</v>
      </c>
      <c r="F47" s="325">
        <v>1</v>
      </c>
      <c r="G47" s="325">
        <f>2*PI()*0.5</f>
        <v>3.1415926535897931</v>
      </c>
      <c r="H47" s="325"/>
      <c r="I47" s="347">
        <v>0.15</v>
      </c>
    </row>
    <row r="48" spans="3:25" s="313" customFormat="1">
      <c r="C48" s="328" t="s">
        <v>354</v>
      </c>
      <c r="D48" s="345">
        <f t="shared" ref="D48" si="18">+E48</f>
        <v>65.620800000000003</v>
      </c>
      <c r="E48" s="330">
        <f t="shared" si="17"/>
        <v>65.620800000000003</v>
      </c>
      <c r="F48" s="331">
        <f>+Q45</f>
        <v>65.620800000000003</v>
      </c>
      <c r="G48" s="331"/>
      <c r="H48" s="331"/>
      <c r="I48" s="332"/>
      <c r="K48" s="312"/>
      <c r="L48" s="312"/>
      <c r="M48" s="312"/>
      <c r="N48" s="312"/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</row>
    <row r="49" spans="3:25" s="313" customFormat="1">
      <c r="C49" s="346"/>
      <c r="E49" s="314"/>
      <c r="F49" s="334"/>
      <c r="G49" s="334"/>
      <c r="H49" s="334"/>
      <c r="I49" s="334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</row>
    <row r="50" spans="3:25" s="313" customFormat="1">
      <c r="C50" s="335" t="s">
        <v>366</v>
      </c>
      <c r="D50" s="336">
        <f t="shared" ref="D50" si="19">+E50</f>
        <v>11.4</v>
      </c>
      <c r="E50" s="337">
        <f t="shared" ref="E50" si="20">+PRODUCT(F50:I50)</f>
        <v>11.4</v>
      </c>
      <c r="F50" s="338">
        <v>1</v>
      </c>
      <c r="G50" s="338">
        <f>+G39</f>
        <v>7.6000000000000005</v>
      </c>
      <c r="H50" s="338"/>
      <c r="I50" s="339">
        <f>+I37</f>
        <v>1.5</v>
      </c>
      <c r="K50" s="312"/>
      <c r="L50" s="312"/>
      <c r="M50" s="312"/>
      <c r="N50" s="312"/>
      <c r="O50" s="312"/>
      <c r="P50" s="312"/>
      <c r="Q50" s="312"/>
      <c r="R50" s="312"/>
      <c r="S50" s="312"/>
      <c r="T50" s="312"/>
      <c r="U50" s="312"/>
      <c r="V50" s="312"/>
      <c r="W50" s="312"/>
      <c r="X50" s="312"/>
      <c r="Y50" s="312"/>
    </row>
    <row r="51" spans="3:25" s="313" customFormat="1">
      <c r="C51" s="346"/>
      <c r="E51" s="314"/>
      <c r="F51" s="334"/>
      <c r="G51" s="334"/>
      <c r="H51" s="334"/>
      <c r="I51" s="334"/>
      <c r="K51" s="312"/>
      <c r="L51" s="312"/>
      <c r="M51" s="312"/>
      <c r="N51" s="312"/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</row>
    <row r="52" spans="3:25" s="313" customFormat="1">
      <c r="C52" s="335" t="s">
        <v>367</v>
      </c>
      <c r="D52" s="336">
        <f t="shared" ref="D52" si="21">+E52</f>
        <v>3.5200000000000005</v>
      </c>
      <c r="E52" s="337">
        <f t="shared" ref="E52" si="22">+PRODUCT(F52:I52)</f>
        <v>3.5200000000000005</v>
      </c>
      <c r="F52" s="338">
        <v>1</v>
      </c>
      <c r="G52" s="338">
        <f>+G16-2*H11</f>
        <v>2.2000000000000002</v>
      </c>
      <c r="H52" s="338">
        <f>+H16-2*H11</f>
        <v>1.6</v>
      </c>
      <c r="I52" s="339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</row>
    <row r="53" spans="3:25" s="313" customFormat="1">
      <c r="C53" s="346"/>
      <c r="E53" s="314"/>
      <c r="F53" s="334"/>
      <c r="G53" s="334"/>
      <c r="H53" s="334"/>
      <c r="I53" s="334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</row>
    <row r="54" spans="3:25" s="313" customFormat="1">
      <c r="C54" s="335" t="s">
        <v>368</v>
      </c>
      <c r="D54" s="336">
        <f t="shared" ref="D54" si="23">+E54</f>
        <v>1.5</v>
      </c>
      <c r="E54" s="337">
        <f t="shared" ref="E54" si="24">+PRODUCT(F54:I54)</f>
        <v>1.5</v>
      </c>
      <c r="F54" s="338">
        <v>1</v>
      </c>
      <c r="G54" s="338">
        <f>+E13</f>
        <v>1.5</v>
      </c>
      <c r="H54" s="338"/>
      <c r="I54" s="339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</row>
    <row r="55" spans="3:25" s="313" customFormat="1">
      <c r="C55" s="346"/>
      <c r="E55" s="314"/>
      <c r="F55" s="334"/>
      <c r="G55" s="334"/>
      <c r="H55" s="334"/>
      <c r="I55" s="334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</row>
    <row r="56" spans="3:25" s="313" customFormat="1">
      <c r="C56" s="335" t="s">
        <v>369</v>
      </c>
      <c r="D56" s="336">
        <f t="shared" ref="D56" si="25">+E56</f>
        <v>1</v>
      </c>
      <c r="E56" s="337">
        <f t="shared" ref="E56" si="26">+PRODUCT(F56:I56)</f>
        <v>1</v>
      </c>
      <c r="F56" s="338">
        <v>1</v>
      </c>
      <c r="G56" s="348">
        <v>1</v>
      </c>
      <c r="H56" s="338"/>
      <c r="I56" s="339"/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</row>
    <row r="57" spans="3:25" s="313" customFormat="1">
      <c r="C57" s="346"/>
      <c r="E57" s="314"/>
      <c r="F57" s="334"/>
      <c r="G57" s="334"/>
      <c r="H57" s="334"/>
      <c r="I57" s="334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</row>
    <row r="58" spans="3:25" s="313" customFormat="1">
      <c r="C58" s="335" t="s">
        <v>370</v>
      </c>
      <c r="D58" s="336">
        <f t="shared" ref="D58" si="27">+E58</f>
        <v>1</v>
      </c>
      <c r="E58" s="337">
        <f t="shared" ref="E58" si="28">+PRODUCT(F58:I58)</f>
        <v>1</v>
      </c>
      <c r="F58" s="338">
        <v>1</v>
      </c>
      <c r="G58" s="348">
        <v>1</v>
      </c>
      <c r="H58" s="338"/>
      <c r="I58" s="339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</row>
    <row r="60" spans="3:25" s="375" customFormat="1" ht="21">
      <c r="C60" s="372" t="s">
        <v>380</v>
      </c>
      <c r="D60" s="373"/>
      <c r="E60" s="373"/>
      <c r="F60" s="373"/>
      <c r="G60" s="373"/>
      <c r="H60" s="373"/>
      <c r="I60" s="374"/>
    </row>
    <row r="61" spans="3:25" s="313" customFormat="1">
      <c r="C61" s="316"/>
      <c r="D61" s="314" t="s">
        <v>329</v>
      </c>
      <c r="E61" s="314">
        <v>2.6</v>
      </c>
      <c r="F61" s="314"/>
      <c r="G61" s="314" t="s">
        <v>330</v>
      </c>
      <c r="H61" s="314">
        <v>0.2</v>
      </c>
      <c r="I61" s="315"/>
    </row>
    <row r="62" spans="3:25" s="313" customFormat="1">
      <c r="C62" s="316"/>
      <c r="D62" s="314" t="s">
        <v>331</v>
      </c>
      <c r="E62" s="314">
        <v>2</v>
      </c>
      <c r="F62" s="314"/>
      <c r="G62" s="314" t="s">
        <v>332</v>
      </c>
      <c r="H62" s="314">
        <v>0.2</v>
      </c>
      <c r="I62" s="315"/>
    </row>
    <row r="63" spans="3:25" s="313" customFormat="1">
      <c r="C63" s="316"/>
      <c r="D63" s="314" t="s">
        <v>333</v>
      </c>
      <c r="E63" s="314">
        <f>+E64+0.5</f>
        <v>2.68</v>
      </c>
      <c r="F63" s="314"/>
      <c r="G63" s="314" t="s">
        <v>334</v>
      </c>
      <c r="H63" s="314">
        <v>0.2</v>
      </c>
      <c r="I63" s="315"/>
    </row>
    <row r="64" spans="3:25" s="313" customFormat="1">
      <c r="C64" s="316"/>
      <c r="D64" s="314" t="s">
        <v>335</v>
      </c>
      <c r="E64" s="314">
        <v>2.1800000000000002</v>
      </c>
      <c r="F64" s="314"/>
      <c r="G64" s="314"/>
      <c r="H64" s="314"/>
      <c r="I64" s="315"/>
    </row>
    <row r="65" spans="3:25" s="313" customFormat="1">
      <c r="C65" s="316"/>
      <c r="I65" s="315"/>
    </row>
    <row r="66" spans="3:25" s="313" customFormat="1">
      <c r="C66" s="312"/>
      <c r="F66" s="313" t="s">
        <v>227</v>
      </c>
      <c r="G66" s="313" t="s">
        <v>336</v>
      </c>
      <c r="H66" s="313" t="s">
        <v>226</v>
      </c>
      <c r="I66" s="313" t="s">
        <v>2</v>
      </c>
    </row>
    <row r="67" spans="3:25" s="313" customFormat="1">
      <c r="C67" s="317" t="s">
        <v>337</v>
      </c>
      <c r="D67" s="318">
        <f>+E67</f>
        <v>5.2</v>
      </c>
      <c r="E67" s="319">
        <f>+PRODUCT(F67:I67)</f>
        <v>5.2</v>
      </c>
      <c r="F67" s="320">
        <v>1</v>
      </c>
      <c r="G67" s="320">
        <f>+E61</f>
        <v>2.6</v>
      </c>
      <c r="H67" s="320">
        <f>+E62</f>
        <v>2</v>
      </c>
      <c r="I67" s="321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</row>
    <row r="68" spans="3:25" s="313" customFormat="1">
      <c r="C68" s="322" t="s">
        <v>338</v>
      </c>
      <c r="D68" s="323">
        <f t="shared" ref="D68" si="29">+E68</f>
        <v>5.2</v>
      </c>
      <c r="E68" s="324">
        <f t="shared" ref="E68:E74" si="30">+PRODUCT(F68:I68)</f>
        <v>5.2</v>
      </c>
      <c r="F68" s="325">
        <f t="shared" ref="F68:H69" si="31">+F67</f>
        <v>1</v>
      </c>
      <c r="G68" s="325">
        <f t="shared" si="31"/>
        <v>2.6</v>
      </c>
      <c r="H68" s="325">
        <f t="shared" si="31"/>
        <v>2</v>
      </c>
      <c r="I68" s="326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</row>
    <row r="69" spans="3:25" s="313" customFormat="1">
      <c r="C69" s="322" t="s">
        <v>339</v>
      </c>
      <c r="D69" s="323">
        <f>SUM(E69:E71)</f>
        <v>16.813200000000002</v>
      </c>
      <c r="E69" s="324">
        <f t="shared" si="30"/>
        <v>13.936000000000002</v>
      </c>
      <c r="F69" s="325">
        <f t="shared" si="31"/>
        <v>1</v>
      </c>
      <c r="G69" s="325">
        <f t="shared" si="31"/>
        <v>2.6</v>
      </c>
      <c r="H69" s="325">
        <f t="shared" si="31"/>
        <v>2</v>
      </c>
      <c r="I69" s="326">
        <f>+E63</f>
        <v>2.68</v>
      </c>
      <c r="K69" s="312"/>
      <c r="L69" s="312"/>
      <c r="M69" s="312"/>
      <c r="N69" s="312"/>
      <c r="O69" s="312"/>
      <c r="P69" s="312"/>
      <c r="Q69" s="312"/>
      <c r="R69" s="312"/>
      <c r="S69" s="312"/>
      <c r="T69" s="312"/>
      <c r="U69" s="312"/>
      <c r="V69" s="312"/>
      <c r="W69" s="312"/>
      <c r="X69" s="312"/>
      <c r="Y69" s="312"/>
    </row>
    <row r="70" spans="3:25" s="313" customFormat="1">
      <c r="C70" s="327" t="s">
        <v>340</v>
      </c>
      <c r="D70" s="324"/>
      <c r="E70" s="324">
        <f t="shared" si="30"/>
        <v>2.7872000000000003</v>
      </c>
      <c r="F70" s="325">
        <v>1</v>
      </c>
      <c r="G70" s="325">
        <f>+(G69*2+1.2)+H69*2</f>
        <v>10.4</v>
      </c>
      <c r="H70" s="325">
        <v>0.1</v>
      </c>
      <c r="I70" s="326">
        <f>+I69</f>
        <v>2.68</v>
      </c>
      <c r="K70" s="312"/>
      <c r="L70" s="312"/>
      <c r="M70" s="312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</row>
    <row r="71" spans="3:25" s="313" customFormat="1">
      <c r="C71" s="327"/>
      <c r="D71" s="324"/>
      <c r="E71" s="324">
        <f t="shared" si="30"/>
        <v>0.09</v>
      </c>
      <c r="F71" s="325">
        <v>1</v>
      </c>
      <c r="G71" s="325">
        <v>0.3</v>
      </c>
      <c r="H71" s="325">
        <v>0.3</v>
      </c>
      <c r="I71" s="326">
        <v>1</v>
      </c>
      <c r="K71" s="312"/>
      <c r="L71" s="312"/>
      <c r="M71" s="312"/>
      <c r="N71" s="312"/>
      <c r="O71" s="312"/>
      <c r="P71" s="312"/>
      <c r="Q71" s="312"/>
      <c r="R71" s="312"/>
      <c r="S71" s="312"/>
      <c r="T71" s="312"/>
      <c r="U71" s="312"/>
      <c r="V71" s="312"/>
      <c r="W71" s="312"/>
      <c r="X71" s="312"/>
      <c r="Y71" s="312"/>
    </row>
    <row r="72" spans="3:25" s="313" customFormat="1">
      <c r="C72" s="322" t="s">
        <v>341</v>
      </c>
      <c r="D72" s="323">
        <f>+E72</f>
        <v>5.2</v>
      </c>
      <c r="E72" s="324">
        <f t="shared" si="30"/>
        <v>5.2</v>
      </c>
      <c r="F72" s="325">
        <f>+F69</f>
        <v>1</v>
      </c>
      <c r="G72" s="325">
        <f>+G69</f>
        <v>2.6</v>
      </c>
      <c r="H72" s="325">
        <f>+H69</f>
        <v>2</v>
      </c>
      <c r="I72" s="326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312"/>
      <c r="Y72" s="312"/>
    </row>
    <row r="73" spans="3:25" s="313" customFormat="1">
      <c r="C73" s="322" t="s">
        <v>342</v>
      </c>
      <c r="D73" s="323">
        <f t="shared" ref="D73:D74" si="32">+E73</f>
        <v>2.7872000000000003</v>
      </c>
      <c r="E73" s="324">
        <f t="shared" si="30"/>
        <v>2.7872000000000003</v>
      </c>
      <c r="F73" s="325">
        <f>+E70</f>
        <v>2.7872000000000003</v>
      </c>
      <c r="G73" s="325"/>
      <c r="H73" s="325"/>
      <c r="I73" s="326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312"/>
      <c r="Y73" s="312"/>
    </row>
    <row r="74" spans="3:25" s="313" customFormat="1">
      <c r="C74" s="328" t="s">
        <v>343</v>
      </c>
      <c r="D74" s="329">
        <f t="shared" si="32"/>
        <v>14.026000000000002</v>
      </c>
      <c r="E74" s="330">
        <f t="shared" si="30"/>
        <v>14.026000000000002</v>
      </c>
      <c r="F74" s="331">
        <f>+D69-D73</f>
        <v>14.026000000000002</v>
      </c>
      <c r="G74" s="331"/>
      <c r="H74" s="331"/>
      <c r="I74" s="33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312"/>
      <c r="Y74" s="312"/>
    </row>
    <row r="75" spans="3:25" s="313" customFormat="1">
      <c r="C75" s="333"/>
      <c r="D75" s="310"/>
      <c r="E75" s="314"/>
      <c r="F75" s="334"/>
      <c r="G75" s="334"/>
      <c r="H75" s="334"/>
      <c r="I75" s="334"/>
      <c r="K75" s="312"/>
      <c r="L75" s="312"/>
      <c r="M75" s="312"/>
      <c r="N75" s="312"/>
      <c r="O75" s="312"/>
      <c r="P75" s="312"/>
      <c r="Q75" s="312"/>
      <c r="R75" s="312"/>
      <c r="S75" s="312"/>
      <c r="T75" s="312"/>
      <c r="U75" s="312"/>
      <c r="V75" s="312"/>
      <c r="W75" s="312"/>
      <c r="X75" s="312"/>
      <c r="Y75" s="312"/>
    </row>
    <row r="76" spans="3:25" s="313" customFormat="1">
      <c r="C76" s="335" t="s">
        <v>344</v>
      </c>
      <c r="D76" s="336">
        <f t="shared" ref="D76" si="33">+E76</f>
        <v>6.3E-2</v>
      </c>
      <c r="E76" s="337">
        <f t="shared" ref="E76" si="34">+PRODUCT(F76:I76)</f>
        <v>6.3E-2</v>
      </c>
      <c r="F76" s="338">
        <v>1</v>
      </c>
      <c r="G76" s="338">
        <v>0.3</v>
      </c>
      <c r="H76" s="338">
        <v>0.3</v>
      </c>
      <c r="I76" s="339">
        <v>0.7</v>
      </c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</row>
    <row r="77" spans="3:25">
      <c r="C77" s="333"/>
      <c r="D77" s="310"/>
      <c r="E77" s="314"/>
      <c r="F77" s="334"/>
      <c r="G77" s="334"/>
      <c r="H77" s="334"/>
      <c r="I77" s="334"/>
    </row>
    <row r="78" spans="3:25">
      <c r="C78" s="335" t="s">
        <v>345</v>
      </c>
      <c r="D78" s="336">
        <f t="shared" ref="D78" si="35">+E78</f>
        <v>0.52</v>
      </c>
      <c r="E78" s="337">
        <f t="shared" ref="E78" si="36">+PRODUCT(F78:I78)</f>
        <v>0.52</v>
      </c>
      <c r="F78" s="338">
        <f>+F67</f>
        <v>1</v>
      </c>
      <c r="G78" s="338">
        <f>+G67</f>
        <v>2.6</v>
      </c>
      <c r="H78" s="338">
        <f>+H67</f>
        <v>2</v>
      </c>
      <c r="I78" s="339">
        <v>0.1</v>
      </c>
    </row>
    <row r="79" spans="3:25">
      <c r="C79" s="333"/>
      <c r="D79" s="340"/>
      <c r="F79" s="334"/>
      <c r="G79" s="334"/>
      <c r="H79" s="334"/>
      <c r="I79" s="334"/>
      <c r="K79" s="311" t="s">
        <v>346</v>
      </c>
      <c r="L79" s="309" t="s">
        <v>336</v>
      </c>
      <c r="M79" s="312" t="s">
        <v>347</v>
      </c>
      <c r="N79" s="309" t="s">
        <v>227</v>
      </c>
      <c r="O79" s="309" t="s">
        <v>348</v>
      </c>
      <c r="P79" s="309" t="s">
        <v>349</v>
      </c>
      <c r="Q79" s="309" t="s">
        <v>350</v>
      </c>
    </row>
    <row r="80" spans="3:25">
      <c r="C80" s="317" t="s">
        <v>351</v>
      </c>
      <c r="D80" s="341">
        <f t="shared" ref="D80:D82" si="37">+E80</f>
        <v>5.4450000000000005E-2</v>
      </c>
      <c r="E80" s="319">
        <f t="shared" ref="E80:E82" si="38">+PRODUCT(F80:I80)</f>
        <v>5.4450000000000005E-2</v>
      </c>
      <c r="F80" s="320">
        <v>1</v>
      </c>
      <c r="G80" s="342">
        <v>0.55000000000000004</v>
      </c>
      <c r="H80" s="320">
        <v>0.22</v>
      </c>
      <c r="I80" s="321">
        <v>0.45</v>
      </c>
      <c r="K80" s="312" t="s">
        <v>352</v>
      </c>
      <c r="L80" s="312">
        <f>+G80+0.3*2-0.08</f>
        <v>1.0699999999999998</v>
      </c>
      <c r="M80" s="312">
        <v>2</v>
      </c>
      <c r="N80" s="312">
        <f>ROUND((G80-0.08)/0.15+1,0)</f>
        <v>4</v>
      </c>
      <c r="O80" s="343">
        <v>0.375</v>
      </c>
      <c r="P80" s="312">
        <v>0.56000000000000005</v>
      </c>
      <c r="Q80" s="313">
        <f>+L80*M80*N80*P80</f>
        <v>4.7935999999999996</v>
      </c>
    </row>
    <row r="81" spans="3:25">
      <c r="C81" s="322" t="s">
        <v>353</v>
      </c>
      <c r="D81" s="344">
        <f t="shared" si="37"/>
        <v>0.73919999999999997</v>
      </c>
      <c r="E81" s="324">
        <f t="shared" si="38"/>
        <v>0.73919999999999997</v>
      </c>
      <c r="F81" s="325">
        <v>1</v>
      </c>
      <c r="G81" s="325">
        <f>+G80*2+H80*2</f>
        <v>1.54</v>
      </c>
      <c r="H81" s="325"/>
      <c r="I81" s="326">
        <v>0.48</v>
      </c>
    </row>
    <row r="82" spans="3:25">
      <c r="C82" s="328" t="s">
        <v>354</v>
      </c>
      <c r="D82" s="345">
        <f t="shared" si="37"/>
        <v>4.7935999999999996</v>
      </c>
      <c r="E82" s="330">
        <f t="shared" si="38"/>
        <v>4.7935999999999996</v>
      </c>
      <c r="F82" s="331">
        <f>+Q80</f>
        <v>4.7935999999999996</v>
      </c>
      <c r="G82" s="331"/>
      <c r="H82" s="331"/>
      <c r="I82" s="332"/>
    </row>
    <row r="83" spans="3:25">
      <c r="C83" s="333"/>
      <c r="D83" s="310"/>
      <c r="E83" s="314"/>
      <c r="F83" s="334"/>
      <c r="G83" s="334"/>
      <c r="H83" s="334"/>
      <c r="I83" s="334"/>
      <c r="K83" s="311" t="s">
        <v>355</v>
      </c>
      <c r="L83" s="309" t="s">
        <v>336</v>
      </c>
      <c r="M83" s="312" t="s">
        <v>347</v>
      </c>
      <c r="N83" s="309" t="s">
        <v>227</v>
      </c>
      <c r="O83" s="309" t="s">
        <v>348</v>
      </c>
      <c r="P83" s="309" t="s">
        <v>349</v>
      </c>
      <c r="Q83" s="309" t="s">
        <v>350</v>
      </c>
    </row>
    <row r="84" spans="3:25">
      <c r="C84" s="317" t="s">
        <v>356</v>
      </c>
      <c r="D84" s="341">
        <f t="shared" ref="D84:D86" si="39">+E84</f>
        <v>1.04</v>
      </c>
      <c r="E84" s="319">
        <f t="shared" ref="E84:E86" si="40">+PRODUCT(F84:I84)</f>
        <v>1.04</v>
      </c>
      <c r="F84" s="320">
        <v>1</v>
      </c>
      <c r="G84" s="320">
        <f>+E61</f>
        <v>2.6</v>
      </c>
      <c r="H84" s="320">
        <f>+E62</f>
        <v>2</v>
      </c>
      <c r="I84" s="321">
        <f>+H61</f>
        <v>0.2</v>
      </c>
      <c r="K84" s="312" t="s">
        <v>352</v>
      </c>
      <c r="L84" s="312">
        <f>+E61+0.3*2-0.08</f>
        <v>3.12</v>
      </c>
      <c r="M84" s="312">
        <v>2</v>
      </c>
      <c r="N84" s="312">
        <f>ROUND((E62-0.08)/0.25+1,0)</f>
        <v>9</v>
      </c>
      <c r="O84" s="343">
        <v>0.375</v>
      </c>
      <c r="P84" s="312">
        <v>0.56000000000000005</v>
      </c>
      <c r="Q84" s="313">
        <f>+L84*M84*N84*P84</f>
        <v>31.449600000000004</v>
      </c>
    </row>
    <row r="85" spans="3:25">
      <c r="C85" s="322" t="s">
        <v>353</v>
      </c>
      <c r="D85" s="344">
        <f t="shared" si="39"/>
        <v>1.8399999999999999</v>
      </c>
      <c r="E85" s="324">
        <f t="shared" si="40"/>
        <v>1.8399999999999999</v>
      </c>
      <c r="F85" s="325">
        <v>1</v>
      </c>
      <c r="G85" s="325">
        <f>+G84*2+H84*2</f>
        <v>9.1999999999999993</v>
      </c>
      <c r="H85" s="325"/>
      <c r="I85" s="326">
        <f>+I84</f>
        <v>0.2</v>
      </c>
      <c r="K85" s="312" t="s">
        <v>357</v>
      </c>
      <c r="L85" s="312">
        <f>+E62+0.3*2-0.08</f>
        <v>2.52</v>
      </c>
      <c r="M85" s="312">
        <v>2</v>
      </c>
      <c r="N85" s="312">
        <f>ROUND((E61-0.08)/0.25+1,0)</f>
        <v>11</v>
      </c>
      <c r="O85" s="343">
        <v>0.375</v>
      </c>
      <c r="P85" s="312">
        <v>0.56000000000000005</v>
      </c>
      <c r="Q85" s="313">
        <f>+L85*M85*N85*P85</f>
        <v>31.046400000000002</v>
      </c>
    </row>
    <row r="86" spans="3:25">
      <c r="C86" s="328" t="s">
        <v>354</v>
      </c>
      <c r="D86" s="345">
        <f t="shared" si="39"/>
        <v>62.496000000000009</v>
      </c>
      <c r="E86" s="330">
        <f t="shared" si="40"/>
        <v>62.496000000000009</v>
      </c>
      <c r="F86" s="331">
        <f>+Q86</f>
        <v>62.496000000000009</v>
      </c>
      <c r="G86" s="331"/>
      <c r="H86" s="331"/>
      <c r="I86" s="332"/>
      <c r="Q86" s="310">
        <f>SUM(Q84:Q85)</f>
        <v>62.496000000000009</v>
      </c>
    </row>
    <row r="87" spans="3:25">
      <c r="C87" s="333"/>
      <c r="D87" s="310"/>
      <c r="E87" s="314"/>
      <c r="F87" s="334"/>
      <c r="G87" s="334"/>
      <c r="H87" s="334"/>
      <c r="I87" s="334"/>
    </row>
    <row r="88" spans="3:25">
      <c r="C88" s="317" t="s">
        <v>358</v>
      </c>
      <c r="D88" s="341">
        <f t="shared" ref="D88" si="41">+E88</f>
        <v>3.6624000000000008</v>
      </c>
      <c r="E88" s="319">
        <f t="shared" ref="E88:E91" si="42">+PRODUCT(F88:I88)</f>
        <v>3.6624000000000008</v>
      </c>
      <c r="F88" s="320">
        <v>1</v>
      </c>
      <c r="G88" s="320">
        <f>+E61*2+(E62-2*H62)*2</f>
        <v>8.4</v>
      </c>
      <c r="H88" s="320">
        <f>+H62</f>
        <v>0.2</v>
      </c>
      <c r="I88" s="321">
        <f>+E64</f>
        <v>2.1800000000000002</v>
      </c>
      <c r="K88" s="311" t="s">
        <v>359</v>
      </c>
      <c r="L88" s="309" t="s">
        <v>336</v>
      </c>
      <c r="M88" s="312" t="s">
        <v>360</v>
      </c>
      <c r="N88" s="309" t="s">
        <v>227</v>
      </c>
      <c r="O88" s="309" t="s">
        <v>348</v>
      </c>
      <c r="P88" s="309" t="s">
        <v>349</v>
      </c>
      <c r="Q88" s="309" t="s">
        <v>350</v>
      </c>
      <c r="S88" s="311" t="s">
        <v>361</v>
      </c>
      <c r="T88" s="309" t="s">
        <v>336</v>
      </c>
      <c r="U88" s="312" t="s">
        <v>360</v>
      </c>
      <c r="V88" s="309" t="s">
        <v>227</v>
      </c>
      <c r="W88" s="309" t="s">
        <v>348</v>
      </c>
      <c r="X88" s="309" t="s">
        <v>349</v>
      </c>
      <c r="Y88" s="309" t="s">
        <v>350</v>
      </c>
    </row>
    <row r="89" spans="3:25">
      <c r="C89" s="322" t="s">
        <v>353</v>
      </c>
      <c r="D89" s="344">
        <f>+E89+E90</f>
        <v>36.624000000000002</v>
      </c>
      <c r="E89" s="324">
        <f t="shared" si="42"/>
        <v>20.056000000000001</v>
      </c>
      <c r="F89" s="325">
        <v>1</v>
      </c>
      <c r="G89" s="325">
        <f>+(E61+E62)*2</f>
        <v>9.1999999999999993</v>
      </c>
      <c r="H89" s="325"/>
      <c r="I89" s="326">
        <f>+I88</f>
        <v>2.1800000000000002</v>
      </c>
      <c r="K89" s="312" t="s">
        <v>362</v>
      </c>
      <c r="L89" s="312">
        <f>+E61+0.3*2-0.08</f>
        <v>3.12</v>
      </c>
      <c r="M89" s="312">
        <f>2+2</f>
        <v>4</v>
      </c>
      <c r="N89" s="312">
        <f>ROUND((E64-0.08)/0.25+1,0)</f>
        <v>9</v>
      </c>
      <c r="O89" s="343">
        <v>0.375</v>
      </c>
      <c r="P89" s="312">
        <v>0.56000000000000005</v>
      </c>
      <c r="Q89" s="313">
        <f t="shared" ref="Q89:Q90" si="43">+L89*M89*N89*P89</f>
        <v>62.899200000000008</v>
      </c>
      <c r="S89" s="312" t="s">
        <v>362</v>
      </c>
      <c r="T89" s="312">
        <f>+E62+0.3*2-0.08</f>
        <v>2.52</v>
      </c>
      <c r="U89" s="312">
        <f>2+2</f>
        <v>4</v>
      </c>
      <c r="V89" s="312">
        <f>ROUND((E64-0.08)/0.25+1,0)</f>
        <v>9</v>
      </c>
      <c r="W89" s="343">
        <v>0.375</v>
      </c>
      <c r="X89" s="312">
        <v>0.56000000000000005</v>
      </c>
      <c r="Y89" s="313">
        <f t="shared" ref="Y89:Y90" si="44">+T89*U89*V89*X89</f>
        <v>50.803200000000004</v>
      </c>
    </row>
    <row r="90" spans="3:25">
      <c r="C90" s="322"/>
      <c r="D90" s="344"/>
      <c r="E90" s="324">
        <f t="shared" si="42"/>
        <v>16.568000000000001</v>
      </c>
      <c r="F90" s="325">
        <v>1</v>
      </c>
      <c r="G90" s="325">
        <f>+(E61-2*H62)*2+(E62-2*H62)*2</f>
        <v>7.6000000000000005</v>
      </c>
      <c r="H90" s="325"/>
      <c r="I90" s="326">
        <f>+I89</f>
        <v>2.1800000000000002</v>
      </c>
      <c r="K90" s="312" t="s">
        <v>363</v>
      </c>
      <c r="L90" s="312">
        <f>+E64+0.3*2-0.04+H63+H61</f>
        <v>3.1400000000000006</v>
      </c>
      <c r="M90" s="312">
        <f>2+2</f>
        <v>4</v>
      </c>
      <c r="N90" s="312">
        <f>ROUND((E61-0.08)/0.25+1,0)</f>
        <v>11</v>
      </c>
      <c r="O90" s="343">
        <v>0.375</v>
      </c>
      <c r="P90" s="312">
        <v>0.56000000000000005</v>
      </c>
      <c r="Q90" s="313">
        <f t="shared" si="43"/>
        <v>77.36960000000002</v>
      </c>
      <c r="S90" s="312" t="s">
        <v>363</v>
      </c>
      <c r="T90" s="312">
        <f>+E64+0.3*2-0.04+H63+H61</f>
        <v>3.1400000000000006</v>
      </c>
      <c r="U90" s="312">
        <f>2+2</f>
        <v>4</v>
      </c>
      <c r="V90" s="312">
        <f>ROUND((E62-0.08)/0.25+1,0)</f>
        <v>9</v>
      </c>
      <c r="W90" s="343">
        <v>0.375</v>
      </c>
      <c r="X90" s="312">
        <v>0.56000000000000005</v>
      </c>
      <c r="Y90" s="313">
        <f t="shared" si="44"/>
        <v>63.30240000000002</v>
      </c>
    </row>
    <row r="91" spans="3:25">
      <c r="C91" s="328" t="s">
        <v>354</v>
      </c>
      <c r="D91" s="345">
        <f t="shared" ref="D91" si="45">+E91</f>
        <v>254.37440000000004</v>
      </c>
      <c r="E91" s="330">
        <f t="shared" si="42"/>
        <v>254.37440000000004</v>
      </c>
      <c r="F91" s="331">
        <f>+Q91+Y91</f>
        <v>254.37440000000004</v>
      </c>
      <c r="G91" s="331"/>
      <c r="H91" s="331"/>
      <c r="I91" s="332"/>
      <c r="Q91" s="310">
        <f>SUM(Q89:Q90)</f>
        <v>140.26880000000003</v>
      </c>
      <c r="Y91" s="310">
        <f>SUM(Y89:Y90)</f>
        <v>114.10560000000002</v>
      </c>
    </row>
    <row r="92" spans="3:25">
      <c r="C92" s="346"/>
      <c r="E92" s="314"/>
      <c r="F92" s="334"/>
      <c r="G92" s="334"/>
      <c r="H92" s="334"/>
      <c r="I92" s="334"/>
    </row>
    <row r="93" spans="3:25">
      <c r="C93" s="317" t="s">
        <v>364</v>
      </c>
      <c r="D93" s="341">
        <f>+E93+E94</f>
        <v>0.98345133223538372</v>
      </c>
      <c r="E93" s="319">
        <f t="shared" ref="E93:E99" si="46">+PRODUCT(F93:I93)</f>
        <v>1.04</v>
      </c>
      <c r="F93" s="320">
        <v>1</v>
      </c>
      <c r="G93" s="320">
        <f>+G84</f>
        <v>2.6</v>
      </c>
      <c r="H93" s="320">
        <f>+H84</f>
        <v>2</v>
      </c>
      <c r="I93" s="321">
        <f>+H63</f>
        <v>0.2</v>
      </c>
      <c r="K93" s="311" t="s">
        <v>365</v>
      </c>
      <c r="L93" s="309" t="s">
        <v>336</v>
      </c>
      <c r="M93" s="312" t="s">
        <v>347</v>
      </c>
      <c r="N93" s="309" t="s">
        <v>227</v>
      </c>
      <c r="O93" s="309" t="s">
        <v>348</v>
      </c>
      <c r="P93" s="309" t="s">
        <v>349</v>
      </c>
      <c r="Q93" s="309" t="s">
        <v>350</v>
      </c>
    </row>
    <row r="94" spans="3:25">
      <c r="C94" s="322"/>
      <c r="D94" s="344"/>
      <c r="E94" s="324">
        <f t="shared" si="46"/>
        <v>-5.6548667764616284E-2</v>
      </c>
      <c r="F94" s="325">
        <v>-1</v>
      </c>
      <c r="G94" s="325">
        <f>+PI()*0.3^2</f>
        <v>0.28274333882308139</v>
      </c>
      <c r="H94" s="325"/>
      <c r="I94" s="326">
        <f>+I93</f>
        <v>0.2</v>
      </c>
      <c r="K94" s="312" t="s">
        <v>352</v>
      </c>
      <c r="L94" s="312">
        <f>+E61+0.3*2-0.08</f>
        <v>3.12</v>
      </c>
      <c r="M94" s="312">
        <v>2</v>
      </c>
      <c r="N94" s="312">
        <f>ROUND((E62-0.08)/0.25+1,0)</f>
        <v>9</v>
      </c>
      <c r="O94" s="343">
        <v>0.375</v>
      </c>
      <c r="P94" s="312">
        <v>0.56000000000000005</v>
      </c>
      <c r="Q94" s="313">
        <f>+L94*M94*N94*P94*1.05</f>
        <v>33.022080000000003</v>
      </c>
    </row>
    <row r="95" spans="3:25">
      <c r="C95" s="322" t="s">
        <v>353</v>
      </c>
      <c r="D95" s="344">
        <f>SUM(E95:E98)</f>
        <v>1.6054866776461627</v>
      </c>
      <c r="E95" s="324">
        <f t="shared" si="46"/>
        <v>1.04</v>
      </c>
      <c r="F95" s="325">
        <v>1</v>
      </c>
      <c r="G95" s="325">
        <f>+G93</f>
        <v>2.6</v>
      </c>
      <c r="H95" s="325">
        <f>+H93</f>
        <v>2</v>
      </c>
      <c r="I95" s="326">
        <f>+I93</f>
        <v>0.2</v>
      </c>
      <c r="K95" s="312" t="s">
        <v>357</v>
      </c>
      <c r="L95" s="312">
        <f>+E62+0.3*2-0.08</f>
        <v>2.52</v>
      </c>
      <c r="M95" s="312">
        <v>2</v>
      </c>
      <c r="N95" s="312">
        <f>ROUND((E61-0.08)/0.25+1,0)</f>
        <v>11</v>
      </c>
      <c r="O95" s="343">
        <v>0.375</v>
      </c>
      <c r="P95" s="312">
        <v>0.56000000000000005</v>
      </c>
      <c r="Q95" s="313">
        <f>+L95*M95*N95*P95*1.05</f>
        <v>32.59872</v>
      </c>
    </row>
    <row r="96" spans="3:25">
      <c r="C96" s="322"/>
      <c r="D96" s="344"/>
      <c r="E96" s="324">
        <f t="shared" si="46"/>
        <v>-0.28274333882308139</v>
      </c>
      <c r="F96" s="325">
        <v>-1</v>
      </c>
      <c r="G96" s="325">
        <f>+G94</f>
        <v>0.28274333882308139</v>
      </c>
      <c r="H96" s="325"/>
      <c r="I96" s="326"/>
      <c r="Q96" s="310">
        <f>SUM(Q94:Q95)</f>
        <v>65.620800000000003</v>
      </c>
    </row>
    <row r="97" spans="3:25">
      <c r="C97" s="322"/>
      <c r="D97" s="344"/>
      <c r="E97" s="324">
        <f t="shared" si="46"/>
        <v>0.37699111843077515</v>
      </c>
      <c r="F97" s="325">
        <v>1</v>
      </c>
      <c r="G97" s="325">
        <f>2*PI()*0.3</f>
        <v>1.8849555921538759</v>
      </c>
      <c r="H97" s="325"/>
      <c r="I97" s="326">
        <f>+E63-E64-H61-0.1</f>
        <v>0.19999999999999998</v>
      </c>
    </row>
    <row r="98" spans="3:25">
      <c r="C98" s="322"/>
      <c r="D98" s="344"/>
      <c r="E98" s="324">
        <f t="shared" si="46"/>
        <v>0.47123889803846897</v>
      </c>
      <c r="F98" s="325">
        <v>1</v>
      </c>
      <c r="G98" s="325">
        <f>2*PI()*0.5</f>
        <v>3.1415926535897931</v>
      </c>
      <c r="H98" s="325"/>
      <c r="I98" s="347">
        <v>0.15</v>
      </c>
    </row>
    <row r="99" spans="3:25" s="313" customFormat="1">
      <c r="C99" s="328" t="s">
        <v>354</v>
      </c>
      <c r="D99" s="345">
        <f t="shared" ref="D99" si="47">+E99</f>
        <v>65.620800000000003</v>
      </c>
      <c r="E99" s="330">
        <f t="shared" si="46"/>
        <v>65.620800000000003</v>
      </c>
      <c r="F99" s="331">
        <f>+Q96</f>
        <v>65.620800000000003</v>
      </c>
      <c r="G99" s="331"/>
      <c r="H99" s="331"/>
      <c r="I99" s="332"/>
      <c r="K99" s="312"/>
      <c r="L99" s="312"/>
      <c r="M99" s="312"/>
      <c r="N99" s="312"/>
      <c r="O99" s="312"/>
      <c r="P99" s="312"/>
      <c r="Q99" s="312"/>
      <c r="R99" s="312"/>
      <c r="S99" s="312"/>
      <c r="T99" s="312"/>
      <c r="U99" s="312"/>
      <c r="V99" s="312"/>
      <c r="W99" s="312"/>
      <c r="X99" s="312"/>
      <c r="Y99" s="312"/>
    </row>
    <row r="100" spans="3:25" s="313" customFormat="1">
      <c r="C100" s="346"/>
      <c r="E100" s="314"/>
      <c r="F100" s="334"/>
      <c r="G100" s="334"/>
      <c r="H100" s="334"/>
      <c r="I100" s="334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312"/>
      <c r="Y100" s="312"/>
    </row>
    <row r="101" spans="3:25" s="313" customFormat="1">
      <c r="C101" s="335" t="s">
        <v>366</v>
      </c>
      <c r="D101" s="336">
        <f t="shared" ref="D101" si="48">+E101</f>
        <v>16.568000000000001</v>
      </c>
      <c r="E101" s="337">
        <f t="shared" ref="E101" si="49">+PRODUCT(F101:I101)</f>
        <v>16.568000000000001</v>
      </c>
      <c r="F101" s="338">
        <v>1</v>
      </c>
      <c r="G101" s="338">
        <f>+G90</f>
        <v>7.6000000000000005</v>
      </c>
      <c r="H101" s="338"/>
      <c r="I101" s="339">
        <f>+I88</f>
        <v>2.1800000000000002</v>
      </c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</row>
    <row r="102" spans="3:25" s="313" customFormat="1">
      <c r="C102" s="346"/>
      <c r="E102" s="314"/>
      <c r="F102" s="334"/>
      <c r="G102" s="334"/>
      <c r="H102" s="334"/>
      <c r="I102" s="334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</row>
    <row r="103" spans="3:25" s="313" customFormat="1">
      <c r="C103" s="335" t="s">
        <v>367</v>
      </c>
      <c r="D103" s="336">
        <f t="shared" ref="D103" si="50">+E103</f>
        <v>3.5200000000000005</v>
      </c>
      <c r="E103" s="337">
        <f t="shared" ref="E103" si="51">+PRODUCT(F103:I103)</f>
        <v>3.5200000000000005</v>
      </c>
      <c r="F103" s="338">
        <v>1</v>
      </c>
      <c r="G103" s="338">
        <f>+G67-2*H62</f>
        <v>2.2000000000000002</v>
      </c>
      <c r="H103" s="338">
        <f>+H67-2*H62</f>
        <v>1.6</v>
      </c>
      <c r="I103" s="339"/>
      <c r="K103" s="312"/>
      <c r="L103" s="312"/>
      <c r="M103" s="312"/>
      <c r="N103" s="312"/>
      <c r="O103" s="312"/>
      <c r="P103" s="312"/>
      <c r="Q103" s="312"/>
      <c r="R103" s="312"/>
      <c r="S103" s="312"/>
      <c r="T103" s="312"/>
      <c r="U103" s="312"/>
      <c r="V103" s="312"/>
      <c r="W103" s="312"/>
      <c r="X103" s="312"/>
      <c r="Y103" s="312"/>
    </row>
    <row r="104" spans="3:25" s="313" customFormat="1">
      <c r="C104" s="346"/>
      <c r="E104" s="314"/>
      <c r="F104" s="334"/>
      <c r="G104" s="334"/>
      <c r="H104" s="334"/>
      <c r="I104" s="334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312"/>
      <c r="Y104" s="312"/>
    </row>
    <row r="105" spans="3:25" s="313" customFormat="1">
      <c r="C105" s="335" t="s">
        <v>368</v>
      </c>
      <c r="D105" s="336">
        <f t="shared" ref="D105" si="52">+E105</f>
        <v>2.1800000000000002</v>
      </c>
      <c r="E105" s="337">
        <f t="shared" ref="E105" si="53">+PRODUCT(F105:I105)</f>
        <v>2.1800000000000002</v>
      </c>
      <c r="F105" s="338">
        <v>1</v>
      </c>
      <c r="G105" s="338">
        <f>+E64</f>
        <v>2.1800000000000002</v>
      </c>
      <c r="H105" s="338"/>
      <c r="I105" s="339"/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312"/>
      <c r="Y105" s="312"/>
    </row>
    <row r="106" spans="3:25" s="313" customFormat="1">
      <c r="C106" s="346"/>
      <c r="E106" s="314"/>
      <c r="F106" s="334"/>
      <c r="G106" s="334"/>
      <c r="H106" s="334"/>
      <c r="I106" s="334"/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312"/>
      <c r="Y106" s="312"/>
    </row>
    <row r="107" spans="3:25" s="313" customFormat="1">
      <c r="C107" s="335" t="s">
        <v>369</v>
      </c>
      <c r="D107" s="336">
        <f t="shared" ref="D107" si="54">+E107</f>
        <v>1</v>
      </c>
      <c r="E107" s="337">
        <f t="shared" ref="E107" si="55">+PRODUCT(F107:I107)</f>
        <v>1</v>
      </c>
      <c r="F107" s="338">
        <v>1</v>
      </c>
      <c r="G107" s="348">
        <v>1</v>
      </c>
      <c r="H107" s="338"/>
      <c r="I107" s="339"/>
      <c r="K107" s="312"/>
      <c r="L107" s="312"/>
      <c r="M107" s="312"/>
      <c r="N107" s="312"/>
      <c r="O107" s="312"/>
      <c r="P107" s="312"/>
      <c r="Q107" s="312"/>
      <c r="R107" s="312"/>
      <c r="S107" s="312"/>
      <c r="T107" s="312"/>
      <c r="U107" s="312"/>
      <c r="V107" s="312"/>
      <c r="W107" s="312"/>
      <c r="X107" s="312"/>
      <c r="Y107" s="312"/>
    </row>
    <row r="108" spans="3:25" s="313" customFormat="1">
      <c r="C108" s="346"/>
      <c r="E108" s="314"/>
      <c r="F108" s="334"/>
      <c r="G108" s="334"/>
      <c r="H108" s="334"/>
      <c r="I108" s="334"/>
      <c r="K108" s="312"/>
      <c r="L108" s="312"/>
      <c r="M108" s="312"/>
      <c r="N108" s="312"/>
      <c r="O108" s="312"/>
      <c r="P108" s="312"/>
      <c r="Q108" s="312"/>
      <c r="R108" s="312"/>
      <c r="S108" s="312"/>
      <c r="T108" s="312"/>
      <c r="U108" s="312"/>
      <c r="V108" s="312"/>
      <c r="W108" s="312"/>
      <c r="X108" s="312"/>
      <c r="Y108" s="312"/>
    </row>
    <row r="109" spans="3:25" s="313" customFormat="1">
      <c r="C109" s="335" t="s">
        <v>370</v>
      </c>
      <c r="D109" s="336">
        <f t="shared" ref="D109" si="56">+E109</f>
        <v>1</v>
      </c>
      <c r="E109" s="337">
        <f t="shared" ref="E109" si="57">+PRODUCT(F109:I109)</f>
        <v>1</v>
      </c>
      <c r="F109" s="338">
        <v>1</v>
      </c>
      <c r="G109" s="348">
        <v>1</v>
      </c>
      <c r="H109" s="338"/>
      <c r="I109" s="339"/>
      <c r="K109" s="312"/>
      <c r="L109" s="312"/>
      <c r="M109" s="312"/>
      <c r="N109" s="312"/>
      <c r="O109" s="312"/>
      <c r="P109" s="312"/>
      <c r="Q109" s="312"/>
      <c r="R109" s="312"/>
      <c r="S109" s="312"/>
      <c r="T109" s="312"/>
      <c r="U109" s="312"/>
      <c r="V109" s="312"/>
      <c r="W109" s="312"/>
      <c r="X109" s="312"/>
      <c r="Y109" s="312"/>
    </row>
    <row r="111" spans="3:25" hidden="1"/>
    <row r="112" spans="3:25" hidden="1"/>
    <row r="113" spans="3:25" hidden="1"/>
    <row r="114" spans="3:25" hidden="1"/>
    <row r="115" spans="3:25" hidden="1"/>
    <row r="116" spans="3:25" hidden="1"/>
    <row r="117" spans="3:25" hidden="1"/>
    <row r="118" spans="3:25" s="355" customFormat="1" ht="21" hidden="1">
      <c r="C118" s="352" t="s">
        <v>381</v>
      </c>
      <c r="D118" s="353"/>
      <c r="E118" s="353"/>
      <c r="F118" s="353"/>
      <c r="G118" s="353"/>
      <c r="H118" s="353"/>
      <c r="I118" s="354"/>
    </row>
    <row r="119" spans="3:25" s="313" customFormat="1" hidden="1">
      <c r="C119" s="316"/>
      <c r="D119" s="314" t="s">
        <v>329</v>
      </c>
      <c r="E119" s="314">
        <v>3.4</v>
      </c>
      <c r="F119" s="314"/>
      <c r="G119" s="314" t="s">
        <v>330</v>
      </c>
      <c r="H119" s="314">
        <v>0.2</v>
      </c>
      <c r="I119" s="315"/>
      <c r="K119" s="312"/>
      <c r="L119" s="312"/>
      <c r="M119" s="312"/>
      <c r="N119" s="312"/>
      <c r="O119" s="312"/>
      <c r="P119" s="312"/>
      <c r="Q119" s="312"/>
      <c r="R119" s="312"/>
      <c r="S119" s="312"/>
      <c r="T119" s="312"/>
      <c r="U119" s="312"/>
      <c r="V119" s="312"/>
      <c r="W119" s="312"/>
      <c r="X119" s="312"/>
      <c r="Y119" s="312"/>
    </row>
    <row r="120" spans="3:25" s="313" customFormat="1" hidden="1">
      <c r="C120" s="316"/>
      <c r="D120" s="314" t="s">
        <v>331</v>
      </c>
      <c r="E120" s="314">
        <v>2.8</v>
      </c>
      <c r="F120" s="314"/>
      <c r="G120" s="314" t="s">
        <v>332</v>
      </c>
      <c r="H120" s="314">
        <v>0.2</v>
      </c>
      <c r="I120" s="315"/>
      <c r="K120" s="312"/>
      <c r="L120" s="312"/>
      <c r="M120" s="312"/>
      <c r="N120" s="312"/>
      <c r="O120" s="312"/>
      <c r="P120" s="312"/>
      <c r="Q120" s="312"/>
      <c r="R120" s="312"/>
      <c r="S120" s="312"/>
      <c r="T120" s="312"/>
      <c r="U120" s="312"/>
      <c r="V120" s="312"/>
      <c r="W120" s="312"/>
      <c r="X120" s="312"/>
      <c r="Y120" s="312"/>
    </row>
    <row r="121" spans="3:25" s="313" customFormat="1" hidden="1">
      <c r="C121" s="316"/>
      <c r="D121" s="314" t="s">
        <v>333</v>
      </c>
      <c r="E121" s="314">
        <v>2.5</v>
      </c>
      <c r="F121" s="314"/>
      <c r="G121" s="314" t="s">
        <v>334</v>
      </c>
      <c r="H121" s="314">
        <v>0.2</v>
      </c>
      <c r="I121" s="315"/>
      <c r="K121" s="312"/>
      <c r="L121" s="312"/>
      <c r="M121" s="312"/>
      <c r="N121" s="312"/>
      <c r="O121" s="312"/>
      <c r="P121" s="312"/>
      <c r="Q121" s="312"/>
      <c r="R121" s="312"/>
      <c r="S121" s="312"/>
      <c r="T121" s="312"/>
      <c r="U121" s="312"/>
      <c r="V121" s="312"/>
      <c r="W121" s="312"/>
      <c r="X121" s="312"/>
      <c r="Y121" s="312"/>
    </row>
    <row r="122" spans="3:25" s="313" customFormat="1" hidden="1">
      <c r="C122" s="316"/>
      <c r="D122" s="314" t="s">
        <v>335</v>
      </c>
      <c r="E122" s="314">
        <v>2.1</v>
      </c>
      <c r="F122" s="314"/>
      <c r="G122" s="314"/>
      <c r="H122" s="314"/>
      <c r="I122" s="315"/>
      <c r="K122" s="312"/>
      <c r="L122" s="312"/>
      <c r="M122" s="312"/>
      <c r="N122" s="312"/>
      <c r="O122" s="312"/>
      <c r="P122" s="312"/>
      <c r="Q122" s="312"/>
      <c r="R122" s="312"/>
      <c r="S122" s="312"/>
      <c r="T122" s="312"/>
      <c r="U122" s="312"/>
      <c r="V122" s="312"/>
      <c r="W122" s="312"/>
      <c r="X122" s="312"/>
      <c r="Y122" s="312"/>
    </row>
    <row r="123" spans="3:25" s="313" customFormat="1" hidden="1">
      <c r="C123" s="316"/>
      <c r="I123" s="315"/>
      <c r="K123" s="312"/>
      <c r="L123" s="312"/>
      <c r="M123" s="312"/>
      <c r="N123" s="312"/>
      <c r="O123" s="312"/>
      <c r="P123" s="312"/>
      <c r="Q123" s="312"/>
      <c r="R123" s="312"/>
      <c r="S123" s="312"/>
      <c r="T123" s="312"/>
      <c r="U123" s="312"/>
      <c r="V123" s="312"/>
      <c r="W123" s="312"/>
      <c r="X123" s="312"/>
      <c r="Y123" s="312"/>
    </row>
    <row r="124" spans="3:25" s="313" customFormat="1" hidden="1">
      <c r="C124" s="312"/>
      <c r="F124" s="313" t="s">
        <v>227</v>
      </c>
      <c r="G124" s="313" t="s">
        <v>336</v>
      </c>
      <c r="H124" s="313" t="s">
        <v>226</v>
      </c>
      <c r="I124" s="313" t="s">
        <v>2</v>
      </c>
      <c r="K124" s="312"/>
      <c r="L124" s="312"/>
      <c r="M124" s="312"/>
      <c r="N124" s="312"/>
      <c r="O124" s="312"/>
      <c r="P124" s="312"/>
      <c r="Q124" s="312"/>
      <c r="R124" s="312"/>
      <c r="S124" s="312"/>
      <c r="T124" s="312"/>
      <c r="U124" s="312"/>
      <c r="V124" s="312"/>
      <c r="W124" s="312"/>
      <c r="X124" s="312"/>
      <c r="Y124" s="312"/>
    </row>
    <row r="125" spans="3:25" s="313" customFormat="1" hidden="1">
      <c r="C125" s="317" t="s">
        <v>337</v>
      </c>
      <c r="D125" s="318">
        <f>+E125</f>
        <v>9.52</v>
      </c>
      <c r="E125" s="319">
        <f>+PRODUCT(F125:I125)</f>
        <v>9.52</v>
      </c>
      <c r="F125" s="320">
        <v>1</v>
      </c>
      <c r="G125" s="320">
        <f>+E119</f>
        <v>3.4</v>
      </c>
      <c r="H125" s="320">
        <f>+E120</f>
        <v>2.8</v>
      </c>
      <c r="I125" s="321"/>
      <c r="K125" s="312"/>
      <c r="L125" s="312"/>
      <c r="M125" s="312"/>
      <c r="N125" s="312"/>
      <c r="O125" s="312"/>
      <c r="P125" s="312"/>
      <c r="Q125" s="312"/>
      <c r="R125" s="312"/>
      <c r="S125" s="312"/>
      <c r="T125" s="312"/>
      <c r="U125" s="312"/>
      <c r="V125" s="312"/>
      <c r="W125" s="312"/>
      <c r="X125" s="312"/>
      <c r="Y125" s="312"/>
    </row>
    <row r="126" spans="3:25" s="313" customFormat="1" hidden="1">
      <c r="C126" s="322" t="s">
        <v>338</v>
      </c>
      <c r="D126" s="323">
        <f t="shared" ref="D126" si="58">+E126</f>
        <v>9.52</v>
      </c>
      <c r="E126" s="324">
        <f t="shared" ref="E126:E132" si="59">+PRODUCT(F126:I126)</f>
        <v>9.52</v>
      </c>
      <c r="F126" s="325">
        <f t="shared" ref="F126:H127" si="60">+F125</f>
        <v>1</v>
      </c>
      <c r="G126" s="325">
        <f t="shared" si="60"/>
        <v>3.4</v>
      </c>
      <c r="H126" s="325">
        <f t="shared" si="60"/>
        <v>2.8</v>
      </c>
      <c r="I126" s="326"/>
      <c r="K126" s="312"/>
      <c r="L126" s="312"/>
      <c r="M126" s="312"/>
      <c r="N126" s="312"/>
      <c r="O126" s="312"/>
      <c r="P126" s="312"/>
      <c r="Q126" s="312"/>
      <c r="R126" s="312"/>
      <c r="S126" s="312"/>
      <c r="T126" s="312"/>
      <c r="U126" s="312"/>
      <c r="V126" s="312"/>
      <c r="W126" s="312"/>
      <c r="X126" s="312"/>
      <c r="Y126" s="312"/>
    </row>
    <row r="127" spans="3:25" s="313" customFormat="1" hidden="1">
      <c r="C127" s="322" t="s">
        <v>339</v>
      </c>
      <c r="D127" s="323">
        <f>SUM(E127:E129)</f>
        <v>40.192</v>
      </c>
      <c r="E127" s="324">
        <f t="shared" si="59"/>
        <v>23.799999999999997</v>
      </c>
      <c r="F127" s="325">
        <f t="shared" si="60"/>
        <v>1</v>
      </c>
      <c r="G127" s="325">
        <f t="shared" si="60"/>
        <v>3.4</v>
      </c>
      <c r="H127" s="325">
        <f t="shared" si="60"/>
        <v>2.8</v>
      </c>
      <c r="I127" s="326">
        <f>+E121</f>
        <v>2.5</v>
      </c>
      <c r="K127" s="312"/>
      <c r="L127" s="312"/>
      <c r="M127" s="312"/>
      <c r="N127" s="312"/>
      <c r="O127" s="312"/>
      <c r="P127" s="312"/>
      <c r="Q127" s="312"/>
      <c r="R127" s="312"/>
      <c r="S127" s="312"/>
      <c r="T127" s="312"/>
      <c r="U127" s="312"/>
      <c r="V127" s="312"/>
      <c r="W127" s="312"/>
      <c r="X127" s="312"/>
      <c r="Y127" s="312"/>
    </row>
    <row r="128" spans="3:25" s="313" customFormat="1" hidden="1">
      <c r="C128" s="327" t="s">
        <v>340</v>
      </c>
      <c r="D128" s="324"/>
      <c r="E128" s="324">
        <f t="shared" si="59"/>
        <v>16.32</v>
      </c>
      <c r="F128" s="325">
        <v>0.8</v>
      </c>
      <c r="G128" s="325">
        <f>+(G127*2+1.2)+H127*2</f>
        <v>13.6</v>
      </c>
      <c r="H128" s="325">
        <v>0.6</v>
      </c>
      <c r="I128" s="326">
        <f>+I127</f>
        <v>2.5</v>
      </c>
      <c r="K128" s="312"/>
      <c r="L128" s="312"/>
      <c r="M128" s="312"/>
      <c r="N128" s="312"/>
      <c r="O128" s="312"/>
      <c r="P128" s="312"/>
      <c r="Q128" s="312"/>
      <c r="R128" s="312"/>
      <c r="S128" s="312"/>
      <c r="T128" s="312"/>
      <c r="U128" s="312"/>
      <c r="V128" s="312"/>
      <c r="W128" s="312"/>
      <c r="X128" s="312"/>
      <c r="Y128" s="312"/>
    </row>
    <row r="129" spans="3:25" s="313" customFormat="1" hidden="1">
      <c r="C129" s="327"/>
      <c r="D129" s="324"/>
      <c r="E129" s="324">
        <f t="shared" si="59"/>
        <v>7.1999999999999995E-2</v>
      </c>
      <c r="F129" s="325">
        <v>0.8</v>
      </c>
      <c r="G129" s="325">
        <v>0.3</v>
      </c>
      <c r="H129" s="325">
        <v>0.3</v>
      </c>
      <c r="I129" s="326">
        <v>1</v>
      </c>
      <c r="K129" s="312"/>
      <c r="L129" s="312"/>
      <c r="M129" s="312"/>
      <c r="N129" s="312"/>
      <c r="O129" s="312"/>
      <c r="P129" s="312"/>
      <c r="Q129" s="312"/>
      <c r="R129" s="312"/>
      <c r="S129" s="312"/>
      <c r="T129" s="312"/>
      <c r="U129" s="312"/>
      <c r="V129" s="312"/>
      <c r="W129" s="312"/>
      <c r="X129" s="312"/>
      <c r="Y129" s="312"/>
    </row>
    <row r="130" spans="3:25" s="313" customFormat="1" hidden="1">
      <c r="C130" s="322" t="s">
        <v>341</v>
      </c>
      <c r="D130" s="323">
        <f>+E130</f>
        <v>9.52</v>
      </c>
      <c r="E130" s="324">
        <f t="shared" si="59"/>
        <v>9.52</v>
      </c>
      <c r="F130" s="325">
        <f>+F127</f>
        <v>1</v>
      </c>
      <c r="G130" s="325">
        <f>+G127</f>
        <v>3.4</v>
      </c>
      <c r="H130" s="325">
        <f>+H127</f>
        <v>2.8</v>
      </c>
      <c r="I130" s="326"/>
      <c r="K130" s="312"/>
      <c r="L130" s="312"/>
      <c r="M130" s="312"/>
      <c r="N130" s="312"/>
      <c r="O130" s="312"/>
      <c r="P130" s="312"/>
      <c r="Q130" s="312"/>
      <c r="R130" s="312"/>
      <c r="S130" s="312"/>
      <c r="T130" s="312"/>
      <c r="U130" s="312"/>
      <c r="V130" s="312"/>
      <c r="W130" s="312"/>
      <c r="X130" s="312"/>
      <c r="Y130" s="312"/>
    </row>
    <row r="131" spans="3:25" s="313" customFormat="1" hidden="1">
      <c r="C131" s="322" t="s">
        <v>342</v>
      </c>
      <c r="D131" s="323">
        <f t="shared" ref="D131:D167" si="61">+E131</f>
        <v>16.32</v>
      </c>
      <c r="E131" s="324">
        <f t="shared" si="59"/>
        <v>16.32</v>
      </c>
      <c r="F131" s="325">
        <f>+E128</f>
        <v>16.32</v>
      </c>
      <c r="G131" s="325"/>
      <c r="H131" s="325"/>
      <c r="I131" s="326"/>
      <c r="K131" s="312"/>
      <c r="L131" s="312"/>
      <c r="M131" s="312"/>
      <c r="N131" s="312"/>
      <c r="O131" s="312"/>
      <c r="P131" s="312"/>
      <c r="Q131" s="312"/>
      <c r="R131" s="312"/>
      <c r="S131" s="312"/>
      <c r="T131" s="312"/>
      <c r="U131" s="312"/>
      <c r="V131" s="312"/>
      <c r="W131" s="312"/>
      <c r="X131" s="312"/>
      <c r="Y131" s="312"/>
    </row>
    <row r="132" spans="3:25" s="313" customFormat="1" hidden="1">
      <c r="C132" s="328" t="s">
        <v>343</v>
      </c>
      <c r="D132" s="329">
        <f t="shared" si="61"/>
        <v>23.872</v>
      </c>
      <c r="E132" s="330">
        <f t="shared" si="59"/>
        <v>23.872</v>
      </c>
      <c r="F132" s="331">
        <f>+D127-D131</f>
        <v>23.872</v>
      </c>
      <c r="G132" s="331"/>
      <c r="H132" s="331"/>
      <c r="I132" s="332"/>
      <c r="K132" s="312"/>
      <c r="L132" s="312"/>
      <c r="M132" s="312"/>
      <c r="N132" s="312"/>
      <c r="O132" s="312"/>
      <c r="P132" s="312"/>
      <c r="Q132" s="312"/>
      <c r="R132" s="312"/>
      <c r="S132" s="312"/>
      <c r="T132" s="312"/>
      <c r="U132" s="312"/>
      <c r="V132" s="312"/>
      <c r="W132" s="312"/>
      <c r="X132" s="312"/>
      <c r="Y132" s="312"/>
    </row>
    <row r="133" spans="3:25" s="313" customFormat="1" hidden="1">
      <c r="C133" s="333"/>
      <c r="D133" s="310"/>
      <c r="E133" s="314"/>
      <c r="F133" s="334"/>
      <c r="G133" s="334"/>
      <c r="H133" s="334"/>
      <c r="I133" s="334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312"/>
      <c r="Y133" s="312"/>
    </row>
    <row r="134" spans="3:25" s="313" customFormat="1" hidden="1">
      <c r="C134" s="335" t="s">
        <v>344</v>
      </c>
      <c r="D134" s="336">
        <f t="shared" si="61"/>
        <v>6.3E-2</v>
      </c>
      <c r="E134" s="337">
        <f t="shared" ref="E134" si="62">+PRODUCT(F134:I134)</f>
        <v>6.3E-2</v>
      </c>
      <c r="F134" s="338">
        <v>1</v>
      </c>
      <c r="G134" s="338">
        <v>0.3</v>
      </c>
      <c r="H134" s="338">
        <v>0.3</v>
      </c>
      <c r="I134" s="339">
        <v>0.7</v>
      </c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312"/>
      <c r="Y134" s="312"/>
    </row>
    <row r="135" spans="3:25" s="313" customFormat="1" hidden="1">
      <c r="C135" s="333"/>
      <c r="D135" s="310"/>
      <c r="E135" s="314"/>
      <c r="F135" s="334"/>
      <c r="G135" s="334"/>
      <c r="H135" s="334"/>
      <c r="I135" s="334"/>
      <c r="K135" s="312"/>
      <c r="L135" s="312"/>
      <c r="M135" s="312"/>
      <c r="N135" s="312"/>
      <c r="O135" s="312"/>
      <c r="P135" s="312"/>
      <c r="Q135" s="312"/>
      <c r="R135" s="312"/>
      <c r="S135" s="312"/>
      <c r="T135" s="312"/>
      <c r="U135" s="312"/>
      <c r="V135" s="312"/>
      <c r="W135" s="312"/>
      <c r="X135" s="312"/>
      <c r="Y135" s="312"/>
    </row>
    <row r="136" spans="3:25" s="313" customFormat="1" hidden="1">
      <c r="C136" s="335" t="s">
        <v>345</v>
      </c>
      <c r="D136" s="336">
        <f t="shared" si="61"/>
        <v>0.95199999999999996</v>
      </c>
      <c r="E136" s="337">
        <f t="shared" ref="E136" si="63">+PRODUCT(F136:I136)</f>
        <v>0.95199999999999996</v>
      </c>
      <c r="F136" s="338">
        <f>+F125</f>
        <v>1</v>
      </c>
      <c r="G136" s="338">
        <f>+G125</f>
        <v>3.4</v>
      </c>
      <c r="H136" s="338">
        <f>+H125</f>
        <v>2.8</v>
      </c>
      <c r="I136" s="339">
        <v>0.1</v>
      </c>
      <c r="K136" s="312"/>
      <c r="L136" s="312"/>
      <c r="M136" s="312"/>
      <c r="N136" s="312"/>
      <c r="O136" s="312"/>
      <c r="P136" s="312"/>
      <c r="Q136" s="312"/>
      <c r="R136" s="312"/>
      <c r="S136" s="312"/>
      <c r="T136" s="312"/>
      <c r="U136" s="312"/>
      <c r="V136" s="312"/>
      <c r="W136" s="312"/>
      <c r="X136" s="312"/>
      <c r="Y136" s="312"/>
    </row>
    <row r="137" spans="3:25" hidden="1">
      <c r="C137" s="333"/>
      <c r="D137" s="340"/>
      <c r="F137" s="334"/>
      <c r="G137" s="334"/>
      <c r="H137" s="334"/>
      <c r="I137" s="334"/>
      <c r="K137" s="311" t="s">
        <v>346</v>
      </c>
      <c r="L137" s="309" t="s">
        <v>336</v>
      </c>
      <c r="M137" s="312" t="s">
        <v>347</v>
      </c>
      <c r="N137" s="309" t="s">
        <v>227</v>
      </c>
      <c r="O137" s="309" t="s">
        <v>348</v>
      </c>
      <c r="P137" s="309" t="s">
        <v>349</v>
      </c>
      <c r="Q137" s="309" t="s">
        <v>350</v>
      </c>
    </row>
    <row r="138" spans="3:25" hidden="1">
      <c r="C138" s="317" t="s">
        <v>351</v>
      </c>
      <c r="D138" s="341">
        <f t="shared" si="61"/>
        <v>5.808E-2</v>
      </c>
      <c r="E138" s="319">
        <f t="shared" ref="E138:E140" si="64">+PRODUCT(F138:I138)</f>
        <v>5.808E-2</v>
      </c>
      <c r="F138" s="320">
        <v>1</v>
      </c>
      <c r="G138" s="342">
        <v>0.55000000000000004</v>
      </c>
      <c r="H138" s="320">
        <v>0.22</v>
      </c>
      <c r="I138" s="321">
        <v>0.48</v>
      </c>
      <c r="K138" s="312" t="s">
        <v>352</v>
      </c>
      <c r="L138" s="312">
        <f>+G138+0.3*2-0.08</f>
        <v>1.0699999999999998</v>
      </c>
      <c r="M138" s="312">
        <v>2</v>
      </c>
      <c r="N138" s="312">
        <f>ROUND((G138-0.08)/0.15+1,0)</f>
        <v>4</v>
      </c>
      <c r="O138" s="343">
        <v>0.375</v>
      </c>
      <c r="P138" s="312">
        <v>0.56000000000000005</v>
      </c>
      <c r="Q138" s="313">
        <f>+L138*M138*N138*P138</f>
        <v>4.7935999999999996</v>
      </c>
    </row>
    <row r="139" spans="3:25" hidden="1">
      <c r="C139" s="322" t="s">
        <v>353</v>
      </c>
      <c r="D139" s="344">
        <f t="shared" si="61"/>
        <v>0.73919999999999997</v>
      </c>
      <c r="E139" s="324">
        <f t="shared" si="64"/>
        <v>0.73919999999999997</v>
      </c>
      <c r="F139" s="325">
        <v>1</v>
      </c>
      <c r="G139" s="325">
        <f>+G138*2+H138*2</f>
        <v>1.54</v>
      </c>
      <c r="H139" s="325"/>
      <c r="I139" s="326">
        <v>0.48</v>
      </c>
    </row>
    <row r="140" spans="3:25" hidden="1">
      <c r="C140" s="328" t="s">
        <v>354</v>
      </c>
      <c r="D140" s="345">
        <f t="shared" si="61"/>
        <v>4.7935999999999996</v>
      </c>
      <c r="E140" s="330">
        <f t="shared" si="64"/>
        <v>4.7935999999999996</v>
      </c>
      <c r="F140" s="331">
        <f>+Q138</f>
        <v>4.7935999999999996</v>
      </c>
      <c r="G140" s="331"/>
      <c r="H140" s="331"/>
      <c r="I140" s="332"/>
    </row>
    <row r="141" spans="3:25" hidden="1">
      <c r="C141" s="333"/>
      <c r="D141" s="310"/>
      <c r="E141" s="314"/>
      <c r="F141" s="334"/>
      <c r="G141" s="334"/>
      <c r="H141" s="334"/>
      <c r="I141" s="334"/>
      <c r="K141" s="311" t="s">
        <v>355</v>
      </c>
      <c r="L141" s="309" t="s">
        <v>336</v>
      </c>
      <c r="M141" s="312" t="s">
        <v>347</v>
      </c>
      <c r="N141" s="309" t="s">
        <v>227</v>
      </c>
      <c r="O141" s="309" t="s">
        <v>348</v>
      </c>
      <c r="P141" s="309" t="s">
        <v>349</v>
      </c>
      <c r="Q141" s="309" t="s">
        <v>350</v>
      </c>
    </row>
    <row r="142" spans="3:25" hidden="1">
      <c r="C142" s="317" t="s">
        <v>356</v>
      </c>
      <c r="D142" s="341">
        <f t="shared" si="61"/>
        <v>1.9039999999999999</v>
      </c>
      <c r="E142" s="319">
        <f t="shared" ref="E142:E144" si="65">+PRODUCT(F142:I142)</f>
        <v>1.9039999999999999</v>
      </c>
      <c r="F142" s="320">
        <v>1</v>
      </c>
      <c r="G142" s="320">
        <f>+E119</f>
        <v>3.4</v>
      </c>
      <c r="H142" s="320">
        <f>+E120</f>
        <v>2.8</v>
      </c>
      <c r="I142" s="321">
        <f>+H119</f>
        <v>0.2</v>
      </c>
      <c r="K142" s="312" t="s">
        <v>352</v>
      </c>
      <c r="L142" s="312">
        <f>+E119+0.3*2-0.08</f>
        <v>3.92</v>
      </c>
      <c r="M142" s="312">
        <v>2</v>
      </c>
      <c r="N142" s="312">
        <f>ROUND((E120-0.08)/0.25+1,0)</f>
        <v>12</v>
      </c>
      <c r="O142" s="343">
        <v>0.375</v>
      </c>
      <c r="P142" s="312">
        <v>0.56000000000000005</v>
      </c>
      <c r="Q142" s="313">
        <f>+L142*M142*N142*P142</f>
        <v>52.684800000000003</v>
      </c>
    </row>
    <row r="143" spans="3:25" hidden="1">
      <c r="C143" s="322" t="s">
        <v>353</v>
      </c>
      <c r="D143" s="344">
        <f t="shared" si="61"/>
        <v>2.48</v>
      </c>
      <c r="E143" s="324">
        <f t="shared" si="65"/>
        <v>2.48</v>
      </c>
      <c r="F143" s="325">
        <v>1</v>
      </c>
      <c r="G143" s="325">
        <f>+G142*2+H142*2</f>
        <v>12.399999999999999</v>
      </c>
      <c r="H143" s="325"/>
      <c r="I143" s="326">
        <f>+I142</f>
        <v>0.2</v>
      </c>
      <c r="K143" s="312" t="s">
        <v>357</v>
      </c>
      <c r="L143" s="312">
        <f>+E120+0.3*2-0.08</f>
        <v>3.32</v>
      </c>
      <c r="M143" s="312">
        <v>2</v>
      </c>
      <c r="N143" s="312">
        <f>ROUND((E119-0.08)/0.25+1,0)</f>
        <v>14</v>
      </c>
      <c r="O143" s="343">
        <v>0.375</v>
      </c>
      <c r="P143" s="312">
        <v>0.56000000000000005</v>
      </c>
      <c r="Q143" s="313">
        <f>+L143*M143*N143*P143</f>
        <v>52.057600000000001</v>
      </c>
    </row>
    <row r="144" spans="3:25" hidden="1">
      <c r="C144" s="328" t="s">
        <v>354</v>
      </c>
      <c r="D144" s="345">
        <f t="shared" si="61"/>
        <v>104.7424</v>
      </c>
      <c r="E144" s="330">
        <f t="shared" si="65"/>
        <v>104.7424</v>
      </c>
      <c r="F144" s="331">
        <f>+Q144</f>
        <v>104.7424</v>
      </c>
      <c r="G144" s="331"/>
      <c r="H144" s="331"/>
      <c r="I144" s="332"/>
      <c r="Q144" s="310">
        <f>SUM(Q142:Q143)</f>
        <v>104.7424</v>
      </c>
    </row>
    <row r="145" spans="3:25" hidden="1">
      <c r="C145" s="333"/>
      <c r="D145" s="310"/>
      <c r="E145" s="314"/>
      <c r="F145" s="334"/>
      <c r="G145" s="334"/>
      <c r="H145" s="334"/>
      <c r="I145" s="334"/>
    </row>
    <row r="146" spans="3:25" hidden="1">
      <c r="C146" s="317" t="s">
        <v>358</v>
      </c>
      <c r="D146" s="341">
        <f t="shared" si="61"/>
        <v>4.8719999999999999</v>
      </c>
      <c r="E146" s="319">
        <f t="shared" ref="E146:E149" si="66">+PRODUCT(F146:I146)</f>
        <v>4.8719999999999999</v>
      </c>
      <c r="F146" s="320">
        <v>1</v>
      </c>
      <c r="G146" s="320">
        <f>+E119*2+(E120-2*H120)*2</f>
        <v>11.6</v>
      </c>
      <c r="H146" s="320">
        <f>+H120</f>
        <v>0.2</v>
      </c>
      <c r="I146" s="321">
        <f>+E122</f>
        <v>2.1</v>
      </c>
      <c r="K146" s="311" t="s">
        <v>359</v>
      </c>
      <c r="L146" s="309" t="s">
        <v>336</v>
      </c>
      <c r="M146" s="312" t="s">
        <v>360</v>
      </c>
      <c r="N146" s="309" t="s">
        <v>227</v>
      </c>
      <c r="O146" s="309" t="s">
        <v>348</v>
      </c>
      <c r="P146" s="309" t="s">
        <v>349</v>
      </c>
      <c r="Q146" s="309" t="s">
        <v>350</v>
      </c>
      <c r="S146" s="311" t="s">
        <v>361</v>
      </c>
      <c r="T146" s="309" t="s">
        <v>336</v>
      </c>
      <c r="U146" s="312" t="s">
        <v>360</v>
      </c>
      <c r="V146" s="309" t="s">
        <v>227</v>
      </c>
      <c r="W146" s="309" t="s">
        <v>348</v>
      </c>
      <c r="X146" s="309" t="s">
        <v>349</v>
      </c>
      <c r="Y146" s="309" t="s">
        <v>350</v>
      </c>
    </row>
    <row r="147" spans="3:25" hidden="1">
      <c r="C147" s="322" t="s">
        <v>353</v>
      </c>
      <c r="D147" s="344">
        <f>+E147+E148</f>
        <v>48.72</v>
      </c>
      <c r="E147" s="324">
        <f t="shared" si="66"/>
        <v>26.04</v>
      </c>
      <c r="F147" s="325">
        <v>1</v>
      </c>
      <c r="G147" s="325">
        <f>+(E119+E120)*2</f>
        <v>12.399999999999999</v>
      </c>
      <c r="H147" s="325"/>
      <c r="I147" s="326">
        <f>+I146</f>
        <v>2.1</v>
      </c>
      <c r="K147" s="312" t="s">
        <v>362</v>
      </c>
      <c r="L147" s="312">
        <f>+E119+0.3*2-0.08</f>
        <v>3.92</v>
      </c>
      <c r="M147" s="312">
        <f>2+2</f>
        <v>4</v>
      </c>
      <c r="N147" s="312">
        <f>ROUND((E122-0.08)/0.25+1,0)</f>
        <v>9</v>
      </c>
      <c r="O147" s="343">
        <v>0.375</v>
      </c>
      <c r="P147" s="312">
        <v>0.56000000000000005</v>
      </c>
      <c r="Q147" s="313">
        <f t="shared" ref="Q147:Q148" si="67">+L147*M147*N147*P147</f>
        <v>79.027200000000008</v>
      </c>
      <c r="S147" s="312" t="s">
        <v>362</v>
      </c>
      <c r="T147" s="312">
        <f>+E120+0.3*2-0.08</f>
        <v>3.32</v>
      </c>
      <c r="U147" s="312">
        <f>2+2</f>
        <v>4</v>
      </c>
      <c r="V147" s="312">
        <f>ROUND((E122-0.08)/0.25+1,0)</f>
        <v>9</v>
      </c>
      <c r="W147" s="343">
        <v>0.375</v>
      </c>
      <c r="X147" s="312">
        <v>0.56000000000000005</v>
      </c>
      <c r="Y147" s="313">
        <f t="shared" ref="Y147:Y148" si="68">+T147*U147*V147*X147</f>
        <v>66.931200000000004</v>
      </c>
    </row>
    <row r="148" spans="3:25" hidden="1">
      <c r="C148" s="322"/>
      <c r="D148" s="344"/>
      <c r="E148" s="324">
        <f t="shared" si="66"/>
        <v>22.680000000000003</v>
      </c>
      <c r="F148" s="325">
        <v>1</v>
      </c>
      <c r="G148" s="325">
        <f>+(E119-2*H120)*2+(E120-2*H120)*2</f>
        <v>10.8</v>
      </c>
      <c r="H148" s="325"/>
      <c r="I148" s="326">
        <f>+I147</f>
        <v>2.1</v>
      </c>
      <c r="K148" s="312" t="s">
        <v>363</v>
      </c>
      <c r="L148" s="312">
        <f>+E122+0.3*2-0.04+H121+H119</f>
        <v>3.0600000000000005</v>
      </c>
      <c r="M148" s="312">
        <f>2+2</f>
        <v>4</v>
      </c>
      <c r="N148" s="312">
        <f>ROUND((E119-0.08)/0.25+1,0)</f>
        <v>14</v>
      </c>
      <c r="O148" s="343">
        <v>0.375</v>
      </c>
      <c r="P148" s="312">
        <v>0.56000000000000005</v>
      </c>
      <c r="Q148" s="313">
        <f t="shared" si="67"/>
        <v>95.961600000000018</v>
      </c>
      <c r="S148" s="312" t="s">
        <v>363</v>
      </c>
      <c r="T148" s="312">
        <f>+E122+0.3*2-0.04+H121+H119</f>
        <v>3.0600000000000005</v>
      </c>
      <c r="U148" s="312">
        <f>2+2</f>
        <v>4</v>
      </c>
      <c r="V148" s="312">
        <f>ROUND((E120-0.08)/0.25+1,0)</f>
        <v>12</v>
      </c>
      <c r="W148" s="343">
        <v>0.375</v>
      </c>
      <c r="X148" s="312">
        <v>0.56000000000000005</v>
      </c>
      <c r="Y148" s="313">
        <f t="shared" si="68"/>
        <v>82.252800000000022</v>
      </c>
    </row>
    <row r="149" spans="3:25" hidden="1">
      <c r="C149" s="328" t="s">
        <v>354</v>
      </c>
      <c r="D149" s="345">
        <f t="shared" si="61"/>
        <v>324.17280000000005</v>
      </c>
      <c r="E149" s="330">
        <f t="shared" si="66"/>
        <v>324.17280000000005</v>
      </c>
      <c r="F149" s="331">
        <f>+Q149+Y149</f>
        <v>324.17280000000005</v>
      </c>
      <c r="G149" s="331"/>
      <c r="H149" s="331"/>
      <c r="I149" s="332"/>
      <c r="Q149" s="310">
        <f>SUM(Q147:Q148)</f>
        <v>174.98880000000003</v>
      </c>
      <c r="Y149" s="310">
        <f>SUM(Y147:Y148)</f>
        <v>149.18400000000003</v>
      </c>
    </row>
    <row r="150" spans="3:25" hidden="1">
      <c r="C150" s="346"/>
      <c r="E150" s="314"/>
      <c r="F150" s="334"/>
      <c r="G150" s="334"/>
      <c r="H150" s="334"/>
      <c r="I150" s="334"/>
    </row>
    <row r="151" spans="3:25" hidden="1">
      <c r="C151" s="317" t="s">
        <v>364</v>
      </c>
      <c r="D151" s="341">
        <f>+E151+E152</f>
        <v>1.504</v>
      </c>
      <c r="E151" s="319">
        <f t="shared" ref="E151:E157" si="69">+PRODUCT(F151:I151)</f>
        <v>1.9039999999999999</v>
      </c>
      <c r="F151" s="320">
        <v>1</v>
      </c>
      <c r="G151" s="320">
        <f>+G142</f>
        <v>3.4</v>
      </c>
      <c r="H151" s="320">
        <f>+H142</f>
        <v>2.8</v>
      </c>
      <c r="I151" s="321">
        <f>+H121</f>
        <v>0.2</v>
      </c>
      <c r="K151" s="311" t="s">
        <v>365</v>
      </c>
      <c r="L151" s="309" t="s">
        <v>336</v>
      </c>
      <c r="M151" s="312" t="s">
        <v>347</v>
      </c>
      <c r="N151" s="309" t="s">
        <v>227</v>
      </c>
      <c r="O151" s="309" t="s">
        <v>348</v>
      </c>
      <c r="P151" s="309" t="s">
        <v>349</v>
      </c>
      <c r="Q151" s="309" t="s">
        <v>350</v>
      </c>
    </row>
    <row r="152" spans="3:25" hidden="1">
      <c r="C152" s="322"/>
      <c r="D152" s="344"/>
      <c r="E152" s="324">
        <f t="shared" si="69"/>
        <v>-0.4</v>
      </c>
      <c r="F152" s="325">
        <v>-1</v>
      </c>
      <c r="G152" s="349">
        <v>0.8</v>
      </c>
      <c r="H152" s="349">
        <v>2.5</v>
      </c>
      <c r="I152" s="326">
        <f>+I151</f>
        <v>0.2</v>
      </c>
      <c r="K152" s="312" t="s">
        <v>352</v>
      </c>
      <c r="L152" s="350">
        <f>(E119-0.8)+0.3*2-0.08</f>
        <v>3.1199999999999997</v>
      </c>
      <c r="M152" s="312">
        <v>2</v>
      </c>
      <c r="N152" s="312">
        <f>ROUND((E120-0.08)/0.25+1,0)</f>
        <v>12</v>
      </c>
      <c r="O152" s="343">
        <v>0.375</v>
      </c>
      <c r="P152" s="312">
        <v>0.56000000000000005</v>
      </c>
      <c r="Q152" s="313">
        <f>+L152*M152*N152*P152*1.075</f>
        <v>45.077759999999998</v>
      </c>
    </row>
    <row r="153" spans="3:25" hidden="1">
      <c r="C153" s="322" t="s">
        <v>353</v>
      </c>
      <c r="D153" s="344">
        <f>SUM(E153:E156)</f>
        <v>3.9039999999999999</v>
      </c>
      <c r="E153" s="324">
        <f t="shared" si="69"/>
        <v>1.9039999999999999</v>
      </c>
      <c r="F153" s="325">
        <v>1</v>
      </c>
      <c r="G153" s="325">
        <f>+G151</f>
        <v>3.4</v>
      </c>
      <c r="H153" s="325">
        <f>+H151</f>
        <v>2.8</v>
      </c>
      <c r="I153" s="326">
        <f>+I151</f>
        <v>0.2</v>
      </c>
      <c r="K153" s="312" t="s">
        <v>357</v>
      </c>
      <c r="L153" s="312">
        <f>+E120+0.3*2-0.08</f>
        <v>3.32</v>
      </c>
      <c r="M153" s="312">
        <v>2</v>
      </c>
      <c r="N153" s="312">
        <f>ROUND((E119-0.08)/0.25+1,0)</f>
        <v>14</v>
      </c>
      <c r="O153" s="343">
        <v>0.375</v>
      </c>
      <c r="P153" s="312">
        <v>0.56000000000000005</v>
      </c>
      <c r="Q153" s="313">
        <f>+L153*M153*N153*P153*1.075</f>
        <v>55.961919999999999</v>
      </c>
    </row>
    <row r="154" spans="3:25" hidden="1">
      <c r="C154" s="322"/>
      <c r="D154" s="344"/>
      <c r="E154" s="324">
        <f t="shared" si="69"/>
        <v>-2</v>
      </c>
      <c r="F154" s="325">
        <v>-1</v>
      </c>
      <c r="G154" s="325">
        <f>+G152</f>
        <v>0.8</v>
      </c>
      <c r="H154" s="325">
        <f>+H152</f>
        <v>2.5</v>
      </c>
      <c r="I154" s="326"/>
      <c r="Q154" s="310">
        <f>SUM(Q152:Q153)</f>
        <v>101.03968</v>
      </c>
    </row>
    <row r="155" spans="3:25" hidden="1">
      <c r="C155" s="322"/>
      <c r="D155" s="344"/>
      <c r="E155" s="324">
        <f t="shared" si="69"/>
        <v>2.8</v>
      </c>
      <c r="F155" s="325">
        <v>1</v>
      </c>
      <c r="G155" s="325">
        <f>+G152*2</f>
        <v>1.6</v>
      </c>
      <c r="H155" s="325">
        <f>+H152*2</f>
        <v>5</v>
      </c>
      <c r="I155" s="347">
        <v>0.35</v>
      </c>
    </row>
    <row r="156" spans="3:25" hidden="1">
      <c r="C156" s="322"/>
      <c r="D156" s="344"/>
      <c r="E156" s="324">
        <f t="shared" si="69"/>
        <v>1.2</v>
      </c>
      <c r="F156" s="325">
        <v>1</v>
      </c>
      <c r="G156" s="325">
        <f>+G155</f>
        <v>1.6</v>
      </c>
      <c r="H156" s="325">
        <f>+H155</f>
        <v>5</v>
      </c>
      <c r="I156" s="347">
        <v>0.15</v>
      </c>
    </row>
    <row r="157" spans="3:25" hidden="1">
      <c r="C157" s="328" t="s">
        <v>354</v>
      </c>
      <c r="D157" s="345">
        <f t="shared" si="61"/>
        <v>101.03968</v>
      </c>
      <c r="E157" s="330">
        <f t="shared" si="69"/>
        <v>101.03968</v>
      </c>
      <c r="F157" s="331">
        <f>+Q154</f>
        <v>101.03968</v>
      </c>
      <c r="G157" s="331"/>
      <c r="H157" s="331"/>
      <c r="I157" s="332"/>
    </row>
    <row r="158" spans="3:25" hidden="1">
      <c r="C158" s="346"/>
      <c r="E158" s="314"/>
      <c r="F158" s="334"/>
      <c r="G158" s="334"/>
      <c r="H158" s="334"/>
      <c r="I158" s="334"/>
    </row>
    <row r="159" spans="3:25" hidden="1">
      <c r="C159" s="335" t="s">
        <v>366</v>
      </c>
      <c r="D159" s="336">
        <f t="shared" si="61"/>
        <v>22.680000000000003</v>
      </c>
      <c r="E159" s="337">
        <f t="shared" ref="E159" si="70">+PRODUCT(F159:I159)</f>
        <v>22.680000000000003</v>
      </c>
      <c r="F159" s="338">
        <v>1</v>
      </c>
      <c r="G159" s="338">
        <f>+G148</f>
        <v>10.8</v>
      </c>
      <c r="H159" s="338"/>
      <c r="I159" s="339">
        <f>+I146</f>
        <v>2.1</v>
      </c>
    </row>
    <row r="160" spans="3:25" hidden="1">
      <c r="C160" s="346"/>
      <c r="E160" s="314"/>
      <c r="F160" s="334"/>
      <c r="G160" s="334"/>
      <c r="H160" s="334"/>
      <c r="I160" s="334"/>
    </row>
    <row r="161" spans="3:13" hidden="1">
      <c r="C161" s="335" t="s">
        <v>367</v>
      </c>
      <c r="D161" s="336">
        <f t="shared" si="61"/>
        <v>7.1999999999999993</v>
      </c>
      <c r="E161" s="337">
        <f t="shared" ref="E161" si="71">+PRODUCT(F161:I161)</f>
        <v>7.1999999999999993</v>
      </c>
      <c r="F161" s="338">
        <v>1</v>
      </c>
      <c r="G161" s="338">
        <f>+G125-2*H120</f>
        <v>3</v>
      </c>
      <c r="H161" s="338">
        <f>+H125-2*H120</f>
        <v>2.4</v>
      </c>
      <c r="I161" s="339"/>
    </row>
    <row r="162" spans="3:13" hidden="1">
      <c r="C162" s="346"/>
      <c r="E162" s="314"/>
      <c r="F162" s="334"/>
      <c r="G162" s="334"/>
      <c r="H162" s="334"/>
      <c r="I162" s="334"/>
    </row>
    <row r="163" spans="3:13" hidden="1">
      <c r="C163" s="335" t="s">
        <v>368</v>
      </c>
      <c r="D163" s="336">
        <f t="shared" si="61"/>
        <v>2.1</v>
      </c>
      <c r="E163" s="337">
        <f t="shared" ref="E163" si="72">+PRODUCT(F163:I163)</f>
        <v>2.1</v>
      </c>
      <c r="F163" s="338">
        <v>1</v>
      </c>
      <c r="G163" s="338">
        <f>+E122</f>
        <v>2.1</v>
      </c>
      <c r="H163" s="338"/>
      <c r="I163" s="339"/>
    </row>
    <row r="164" spans="3:13" hidden="1">
      <c r="C164" s="346"/>
      <c r="E164" s="314"/>
      <c r="F164" s="334"/>
      <c r="G164" s="334"/>
      <c r="H164" s="334"/>
      <c r="I164" s="334"/>
    </row>
    <row r="165" spans="3:13" hidden="1">
      <c r="C165" s="335" t="s">
        <v>369</v>
      </c>
      <c r="D165" s="336">
        <f t="shared" si="61"/>
        <v>1</v>
      </c>
      <c r="E165" s="337">
        <f t="shared" ref="E165" si="73">+PRODUCT(F165:I165)</f>
        <v>1</v>
      </c>
      <c r="F165" s="338">
        <v>1</v>
      </c>
      <c r="G165" s="348">
        <v>1</v>
      </c>
      <c r="H165" s="338"/>
      <c r="I165" s="339"/>
    </row>
    <row r="166" spans="3:13" hidden="1">
      <c r="C166" s="346"/>
      <c r="E166" s="314"/>
      <c r="F166" s="334"/>
      <c r="G166" s="334"/>
      <c r="H166" s="334"/>
      <c r="I166" s="334"/>
    </row>
    <row r="167" spans="3:13" hidden="1">
      <c r="C167" s="335" t="s">
        <v>370</v>
      </c>
      <c r="D167" s="336">
        <f t="shared" si="61"/>
        <v>1</v>
      </c>
      <c r="E167" s="337">
        <f t="shared" ref="E167" si="74">+PRODUCT(F167:I167)</f>
        <v>1</v>
      </c>
      <c r="F167" s="338">
        <v>1</v>
      </c>
      <c r="G167" s="348">
        <v>1</v>
      </c>
      <c r="H167" s="338"/>
      <c r="I167" s="339"/>
    </row>
    <row r="168" spans="3:13" hidden="1"/>
    <row r="170" spans="3:13" s="376" customFormat="1" ht="21">
      <c r="C170" s="372" t="s">
        <v>382</v>
      </c>
      <c r="D170" s="373"/>
      <c r="E170" s="373"/>
      <c r="F170" s="373"/>
      <c r="G170" s="373"/>
      <c r="H170" s="373"/>
      <c r="I170" s="374"/>
      <c r="J170" s="375"/>
    </row>
    <row r="171" spans="3:13">
      <c r="C171" s="316"/>
      <c r="D171" s="314" t="s">
        <v>375</v>
      </c>
      <c r="E171" s="314">
        <v>0.95</v>
      </c>
      <c r="F171" s="314"/>
      <c r="G171" s="314" t="s">
        <v>330</v>
      </c>
      <c r="H171" s="314">
        <v>0.2</v>
      </c>
      <c r="M171" s="312">
        <v>1.84</v>
      </c>
    </row>
    <row r="172" spans="3:13">
      <c r="C172" s="316"/>
      <c r="D172" s="314"/>
      <c r="E172" s="314"/>
      <c r="F172" s="314"/>
      <c r="G172" s="314" t="s">
        <v>332</v>
      </c>
      <c r="H172" s="314">
        <v>0.2</v>
      </c>
      <c r="M172" s="312">
        <v>0.2</v>
      </c>
    </row>
    <row r="173" spans="3:13">
      <c r="C173" s="316"/>
      <c r="D173" s="314" t="s">
        <v>333</v>
      </c>
      <c r="E173" s="314">
        <v>3</v>
      </c>
      <c r="F173" s="314"/>
      <c r="G173" s="314" t="s">
        <v>334</v>
      </c>
      <c r="H173" s="314">
        <v>0.2</v>
      </c>
      <c r="M173" s="312">
        <f>+AVERAGE(M171:M172)</f>
        <v>1.02</v>
      </c>
    </row>
    <row r="174" spans="3:13">
      <c r="C174" s="316"/>
      <c r="D174" s="314" t="s">
        <v>335</v>
      </c>
      <c r="E174" s="314">
        <v>2.38</v>
      </c>
      <c r="F174" s="314"/>
      <c r="G174" s="314"/>
      <c r="H174" s="314"/>
    </row>
    <row r="175" spans="3:13">
      <c r="C175" s="316"/>
    </row>
    <row r="176" spans="3:13">
      <c r="F176" s="313" t="s">
        <v>227</v>
      </c>
      <c r="G176" s="313" t="s">
        <v>4</v>
      </c>
      <c r="H176" s="313" t="s">
        <v>226</v>
      </c>
      <c r="I176" s="313" t="s">
        <v>2</v>
      </c>
    </row>
    <row r="177" spans="3:17">
      <c r="C177" s="317" t="s">
        <v>337</v>
      </c>
      <c r="D177" s="318">
        <f>+E177</f>
        <v>2.8352873698647882</v>
      </c>
      <c r="E177" s="319">
        <f>F177*PI()*G177^2</f>
        <v>2.8352873698647882</v>
      </c>
      <c r="F177" s="320">
        <v>1</v>
      </c>
      <c r="G177" s="320">
        <f>+E171</f>
        <v>0.95</v>
      </c>
      <c r="H177" s="320">
        <f>+E172</f>
        <v>0</v>
      </c>
      <c r="I177" s="321"/>
    </row>
    <row r="178" spans="3:17">
      <c r="C178" s="322" t="s">
        <v>338</v>
      </c>
      <c r="D178" s="323">
        <f t="shared" ref="D178" si="75">+E178</f>
        <v>2.8352873698647882</v>
      </c>
      <c r="E178" s="324">
        <f>F178*PI()*G178^2</f>
        <v>2.8352873698647882</v>
      </c>
      <c r="F178" s="325">
        <f t="shared" ref="F178:H179" si="76">+F177</f>
        <v>1</v>
      </c>
      <c r="G178" s="325">
        <f t="shared" si="76"/>
        <v>0.95</v>
      </c>
      <c r="H178" s="325">
        <f t="shared" si="76"/>
        <v>0</v>
      </c>
      <c r="I178" s="326"/>
    </row>
    <row r="179" spans="3:17">
      <c r="C179" s="322" t="s">
        <v>339</v>
      </c>
      <c r="D179" s="323">
        <f>SUM(E179:E181)</f>
        <v>19.815595662517623</v>
      </c>
      <c r="E179" s="324">
        <f>I179*F179*PI()*G179^2</f>
        <v>8.5058621095943643</v>
      </c>
      <c r="F179" s="325">
        <f t="shared" si="76"/>
        <v>1</v>
      </c>
      <c r="G179" s="325">
        <f t="shared" si="76"/>
        <v>0.95</v>
      </c>
      <c r="H179" s="325">
        <f t="shared" si="76"/>
        <v>0</v>
      </c>
      <c r="I179" s="326">
        <f>+E173</f>
        <v>3</v>
      </c>
    </row>
    <row r="180" spans="3:17">
      <c r="C180" s="327" t="s">
        <v>340</v>
      </c>
      <c r="D180" s="324"/>
      <c r="E180" s="324">
        <f>I180*F180*PI()*(G180^2-E171^2)</f>
        <v>11.309733552923257</v>
      </c>
      <c r="F180" s="325">
        <v>1</v>
      </c>
      <c r="G180" s="325">
        <f>+G179+0.5</f>
        <v>1.45</v>
      </c>
      <c r="H180" s="325">
        <v>0.5</v>
      </c>
      <c r="I180" s="326">
        <f>+I179</f>
        <v>3</v>
      </c>
    </row>
    <row r="181" spans="3:17">
      <c r="C181" s="327"/>
      <c r="D181" s="324"/>
      <c r="E181" s="324">
        <f>I181*F181*PI()*G181^2</f>
        <v>0</v>
      </c>
      <c r="F181" s="325">
        <v>0</v>
      </c>
      <c r="G181" s="325">
        <v>1.55</v>
      </c>
      <c r="H181" s="325"/>
      <c r="I181" s="326">
        <f>+I180</f>
        <v>3</v>
      </c>
    </row>
    <row r="182" spans="3:17">
      <c r="C182" s="322" t="s">
        <v>341</v>
      </c>
      <c r="D182" s="323">
        <f>+E182</f>
        <v>2.8352873698647882</v>
      </c>
      <c r="E182" s="324">
        <f>F182*PI()*G182^2</f>
        <v>2.8352873698647882</v>
      </c>
      <c r="F182" s="325">
        <f>+F179</f>
        <v>1</v>
      </c>
      <c r="G182" s="325">
        <f>+G179</f>
        <v>0.95</v>
      </c>
      <c r="H182" s="325">
        <f>+H179</f>
        <v>0</v>
      </c>
      <c r="I182" s="326"/>
    </row>
    <row r="183" spans="3:17">
      <c r="C183" s="322" t="s">
        <v>342</v>
      </c>
      <c r="D183" s="323">
        <f t="shared" ref="D183:D219" si="77">+E183</f>
        <v>11.309733552923257</v>
      </c>
      <c r="E183" s="324">
        <f t="shared" ref="E183:E184" si="78">+PRODUCT(F183:I183)</f>
        <v>11.309733552923257</v>
      </c>
      <c r="F183" s="325">
        <f>+E180</f>
        <v>11.309733552923257</v>
      </c>
      <c r="G183" s="325"/>
      <c r="H183" s="325"/>
      <c r="I183" s="326"/>
    </row>
    <row r="184" spans="3:17">
      <c r="C184" s="328" t="s">
        <v>343</v>
      </c>
      <c r="D184" s="329">
        <f t="shared" si="77"/>
        <v>8.5058621095943661</v>
      </c>
      <c r="E184" s="330">
        <f t="shared" si="78"/>
        <v>8.5058621095943661</v>
      </c>
      <c r="F184" s="331">
        <f>+D179-D183</f>
        <v>8.5058621095943661</v>
      </c>
      <c r="G184" s="331"/>
      <c r="H184" s="331"/>
      <c r="I184" s="332"/>
      <c r="M184" s="312" t="s">
        <v>376</v>
      </c>
      <c r="N184" s="312">
        <f>+E171*2*PI()</f>
        <v>5.9690260418206069</v>
      </c>
    </row>
    <row r="185" spans="3:17">
      <c r="C185" s="333"/>
      <c r="D185" s="310"/>
      <c r="E185" s="314"/>
      <c r="F185" s="334"/>
      <c r="G185" s="334"/>
      <c r="H185" s="334"/>
      <c r="I185" s="334"/>
    </row>
    <row r="186" spans="3:17">
      <c r="C186" s="335" t="s">
        <v>344</v>
      </c>
      <c r="D186" s="336">
        <f t="shared" si="77"/>
        <v>0</v>
      </c>
      <c r="E186" s="337">
        <f t="shared" ref="E186" si="79">+PRODUCT(F186:I186)</f>
        <v>0</v>
      </c>
      <c r="F186" s="338">
        <v>0</v>
      </c>
      <c r="G186" s="338">
        <v>0.3</v>
      </c>
      <c r="H186" s="338">
        <v>0.3</v>
      </c>
      <c r="I186" s="339">
        <v>0.7</v>
      </c>
    </row>
    <row r="187" spans="3:17">
      <c r="C187" s="333"/>
      <c r="D187" s="310"/>
      <c r="E187" s="314"/>
      <c r="F187" s="334"/>
      <c r="G187" s="334"/>
      <c r="H187" s="334"/>
      <c r="I187" s="334"/>
    </row>
    <row r="188" spans="3:17">
      <c r="C188" s="335" t="s">
        <v>345</v>
      </c>
      <c r="D188" s="336">
        <f t="shared" si="77"/>
        <v>0.28352873698647885</v>
      </c>
      <c r="E188" s="319">
        <f>F188*PI()*G188^2*I188</f>
        <v>0.28352873698647885</v>
      </c>
      <c r="F188" s="338">
        <f>+F177</f>
        <v>1</v>
      </c>
      <c r="G188" s="338">
        <f>+G177</f>
        <v>0.95</v>
      </c>
      <c r="H188" s="338">
        <f>+H177</f>
        <v>0</v>
      </c>
      <c r="I188" s="339">
        <v>0.1</v>
      </c>
    </row>
    <row r="189" spans="3:17">
      <c r="C189" s="333"/>
      <c r="D189" s="340"/>
      <c r="F189" s="334"/>
      <c r="G189" s="334"/>
      <c r="H189" s="334"/>
      <c r="I189" s="334"/>
      <c r="K189" s="311" t="s">
        <v>346</v>
      </c>
      <c r="L189" s="309" t="s">
        <v>336</v>
      </c>
      <c r="M189" s="312" t="s">
        <v>347</v>
      </c>
      <c r="N189" s="309" t="s">
        <v>227</v>
      </c>
      <c r="O189" s="309" t="s">
        <v>348</v>
      </c>
      <c r="P189" s="309" t="s">
        <v>349</v>
      </c>
      <c r="Q189" s="309" t="s">
        <v>350</v>
      </c>
    </row>
    <row r="190" spans="3:17">
      <c r="C190" s="317" t="s">
        <v>351</v>
      </c>
      <c r="D190" s="341">
        <f t="shared" si="77"/>
        <v>9.9839999999999998E-2</v>
      </c>
      <c r="E190" s="319">
        <f t="shared" ref="E190:E192" si="80">+PRODUCT(F190:I190)</f>
        <v>9.9839999999999998E-2</v>
      </c>
      <c r="F190" s="320">
        <v>1</v>
      </c>
      <c r="G190" s="342">
        <v>0.52</v>
      </c>
      <c r="H190" s="320">
        <v>0.4</v>
      </c>
      <c r="I190" s="321">
        <v>0.48</v>
      </c>
      <c r="K190" s="312" t="s">
        <v>352</v>
      </c>
      <c r="L190" s="312">
        <f>+G190+0.3*2-0.08</f>
        <v>1.04</v>
      </c>
      <c r="M190" s="351">
        <v>2.4</v>
      </c>
      <c r="N190" s="312">
        <f>ROUND((G190-0.08)/0.15+1,0)</f>
        <v>4</v>
      </c>
      <c r="O190" s="343">
        <v>0.375</v>
      </c>
      <c r="P190" s="312">
        <v>0.56000000000000005</v>
      </c>
      <c r="Q190" s="313">
        <f>+L190*M190*N190*P190</f>
        <v>5.5910400000000005</v>
      </c>
    </row>
    <row r="191" spans="3:17">
      <c r="C191" s="322" t="s">
        <v>353</v>
      </c>
      <c r="D191" s="344">
        <f t="shared" si="77"/>
        <v>1.0752000000000002</v>
      </c>
      <c r="E191" s="324">
        <f t="shared" si="80"/>
        <v>1.0752000000000002</v>
      </c>
      <c r="F191" s="325">
        <v>1</v>
      </c>
      <c r="G191" s="325">
        <f>0.37*2+0.4+0.15*2+0.4*2</f>
        <v>2.2400000000000002</v>
      </c>
      <c r="H191" s="325"/>
      <c r="I191" s="326">
        <v>0.48</v>
      </c>
    </row>
    <row r="192" spans="3:17">
      <c r="C192" s="328" t="s">
        <v>354</v>
      </c>
      <c r="D192" s="345">
        <f t="shared" si="77"/>
        <v>5.5910400000000005</v>
      </c>
      <c r="E192" s="330">
        <f t="shared" si="80"/>
        <v>5.5910400000000005</v>
      </c>
      <c r="F192" s="331">
        <f>+Q190</f>
        <v>5.5910400000000005</v>
      </c>
      <c r="G192" s="331"/>
      <c r="H192" s="331"/>
      <c r="I192" s="332"/>
    </row>
    <row r="193" spans="3:25">
      <c r="C193" s="333"/>
      <c r="D193" s="310"/>
      <c r="E193" s="314"/>
      <c r="F193" s="334"/>
      <c r="G193" s="334"/>
      <c r="H193" s="334"/>
      <c r="I193" s="334"/>
      <c r="K193" s="311" t="s">
        <v>355</v>
      </c>
      <c r="L193" s="309" t="s">
        <v>336</v>
      </c>
      <c r="M193" s="312" t="s">
        <v>347</v>
      </c>
      <c r="N193" s="309" t="s">
        <v>227</v>
      </c>
      <c r="O193" s="309" t="s">
        <v>348</v>
      </c>
      <c r="P193" s="309" t="s">
        <v>349</v>
      </c>
      <c r="Q193" s="309" t="s">
        <v>350</v>
      </c>
    </row>
    <row r="194" spans="3:25">
      <c r="C194" s="317" t="s">
        <v>356</v>
      </c>
      <c r="D194" s="341">
        <f t="shared" si="77"/>
        <v>0.56705747397295769</v>
      </c>
      <c r="E194" s="319">
        <f>I194*F194*PI()*G194^2</f>
        <v>0.56705747397295769</v>
      </c>
      <c r="F194" s="320">
        <v>1</v>
      </c>
      <c r="G194" s="320">
        <f>+E171</f>
        <v>0.95</v>
      </c>
      <c r="H194" s="320">
        <f>+E172</f>
        <v>0</v>
      </c>
      <c r="I194" s="321">
        <f>+H171</f>
        <v>0.2</v>
      </c>
      <c r="K194" s="312" t="s">
        <v>352</v>
      </c>
      <c r="L194" s="312">
        <f>+E171+0.3*2-0.08</f>
        <v>1.4699999999999998</v>
      </c>
      <c r="M194" s="312">
        <v>0</v>
      </c>
      <c r="N194" s="312">
        <f>ROUND((E172-0.08)/0.25+1,0)</f>
        <v>1</v>
      </c>
      <c r="O194" s="343">
        <v>0.375</v>
      </c>
      <c r="P194" s="312">
        <v>0.56000000000000005</v>
      </c>
      <c r="Q194" s="313">
        <f>+L194*M194*N194*P194</f>
        <v>0</v>
      </c>
    </row>
    <row r="195" spans="3:25">
      <c r="C195" s="322" t="s">
        <v>353</v>
      </c>
      <c r="D195" s="344">
        <f t="shared" si="77"/>
        <v>0</v>
      </c>
      <c r="E195" s="324">
        <f t="shared" ref="E195:E196" si="81">+PRODUCT(F195:I195)</f>
        <v>0</v>
      </c>
      <c r="F195" s="325">
        <v>0</v>
      </c>
      <c r="G195" s="325">
        <f>+G194*2+H194*2</f>
        <v>1.9</v>
      </c>
      <c r="H195" s="325"/>
      <c r="I195" s="326">
        <f>+I194</f>
        <v>0.2</v>
      </c>
      <c r="K195" s="312" t="s">
        <v>357</v>
      </c>
      <c r="L195" s="312">
        <f>+E172+0.3*2-0.08</f>
        <v>0.52</v>
      </c>
      <c r="M195" s="312">
        <v>0</v>
      </c>
      <c r="N195" s="312">
        <f>ROUND((E171-0.08)/0.25+1,0)</f>
        <v>4</v>
      </c>
      <c r="O195" s="343">
        <v>0.375</v>
      </c>
      <c r="P195" s="312">
        <v>0.56000000000000005</v>
      </c>
      <c r="Q195" s="313">
        <f>+L195*M195*N195*P195</f>
        <v>0</v>
      </c>
    </row>
    <row r="196" spans="3:25">
      <c r="C196" s="328" t="s">
        <v>354</v>
      </c>
      <c r="D196" s="345">
        <f t="shared" si="77"/>
        <v>0</v>
      </c>
      <c r="E196" s="330">
        <f t="shared" si="81"/>
        <v>0</v>
      </c>
      <c r="F196" s="331">
        <f>+Q196</f>
        <v>0</v>
      </c>
      <c r="G196" s="331"/>
      <c r="H196" s="331"/>
      <c r="I196" s="332"/>
      <c r="Q196" s="310">
        <f>SUM(Q194:Q195)</f>
        <v>0</v>
      </c>
    </row>
    <row r="197" spans="3:25">
      <c r="C197" s="333"/>
      <c r="D197" s="310"/>
      <c r="E197" s="314"/>
      <c r="F197" s="334"/>
      <c r="G197" s="334"/>
      <c r="H197" s="334"/>
      <c r="I197" s="334"/>
    </row>
    <row r="198" spans="3:25">
      <c r="C198" s="317" t="s">
        <v>358</v>
      </c>
      <c r="D198" s="341">
        <f t="shared" si="77"/>
        <v>2.5421767752848603</v>
      </c>
      <c r="E198" s="319">
        <f>+F198*2*PI()*G198*H198*I198</f>
        <v>2.5421767752848603</v>
      </c>
      <c r="F198" s="320">
        <v>1</v>
      </c>
      <c r="G198" s="320">
        <f>+AVERAGE(E171,(E171-H172))</f>
        <v>0.85</v>
      </c>
      <c r="H198" s="320">
        <f>+H172</f>
        <v>0.2</v>
      </c>
      <c r="I198" s="321">
        <f>+E174</f>
        <v>2.38</v>
      </c>
      <c r="K198" s="311" t="s">
        <v>359</v>
      </c>
      <c r="L198" s="309" t="s">
        <v>336</v>
      </c>
      <c r="M198" s="312" t="s">
        <v>360</v>
      </c>
      <c r="N198" s="309" t="s">
        <v>227</v>
      </c>
      <c r="O198" s="309" t="s">
        <v>348</v>
      </c>
      <c r="P198" s="309" t="s">
        <v>349</v>
      </c>
      <c r="Q198" s="309" t="s">
        <v>350</v>
      </c>
      <c r="S198" s="311"/>
      <c r="T198" s="309"/>
      <c r="V198" s="309"/>
      <c r="W198" s="309"/>
      <c r="X198" s="309"/>
      <c r="Y198" s="309"/>
    </row>
    <row r="199" spans="3:25">
      <c r="C199" s="322" t="s">
        <v>353</v>
      </c>
      <c r="D199" s="344">
        <f>+E199+E200</f>
        <v>12.710883876424303</v>
      </c>
      <c r="E199" s="324">
        <f>+F199*2*PI()*G199*I199</f>
        <v>12.710883876424303</v>
      </c>
      <c r="F199" s="325">
        <v>1</v>
      </c>
      <c r="G199" s="325">
        <f>+G198</f>
        <v>0.85</v>
      </c>
      <c r="H199" s="325"/>
      <c r="I199" s="326">
        <f>+I198</f>
        <v>2.38</v>
      </c>
      <c r="K199" s="312" t="s">
        <v>362</v>
      </c>
      <c r="L199" s="313">
        <f>+N184</f>
        <v>5.9690260418206069</v>
      </c>
      <c r="M199" s="312">
        <v>1</v>
      </c>
      <c r="N199" s="312">
        <f>ROUND((E174-0.08)/0.25+1,0)</f>
        <v>10</v>
      </c>
      <c r="O199" s="343">
        <v>0.375</v>
      </c>
      <c r="P199" s="312">
        <v>0.56000000000000005</v>
      </c>
      <c r="Q199" s="313">
        <f t="shared" ref="Q199:Q200" si="82">+L199*M199*N199*P199</f>
        <v>33.426545834195402</v>
      </c>
      <c r="W199" s="343"/>
      <c r="Y199" s="313"/>
    </row>
    <row r="200" spans="3:25">
      <c r="C200" s="322"/>
      <c r="D200" s="344"/>
      <c r="E200" s="324">
        <f t="shared" ref="E200:E201" si="83">+PRODUCT(F200:I200)</f>
        <v>0</v>
      </c>
      <c r="F200" s="325">
        <v>0</v>
      </c>
      <c r="G200" s="325">
        <f>+(E171-2*H172)*2+(E172-2*H172)*2</f>
        <v>0.29999999999999982</v>
      </c>
      <c r="H200" s="325"/>
      <c r="I200" s="326">
        <f>+I199</f>
        <v>2.38</v>
      </c>
      <c r="K200" s="312" t="s">
        <v>363</v>
      </c>
      <c r="L200" s="313">
        <f>+E174+H173+H171+0.6-0.08</f>
        <v>3.3000000000000003</v>
      </c>
      <c r="M200" s="312">
        <v>1</v>
      </c>
      <c r="N200" s="312">
        <f>ROUND((N184-0.08)/0.25+1,0)</f>
        <v>25</v>
      </c>
      <c r="O200" s="343">
        <v>0.375</v>
      </c>
      <c r="P200" s="312">
        <v>0.56000000000000005</v>
      </c>
      <c r="Q200" s="313">
        <f t="shared" si="82"/>
        <v>46.2</v>
      </c>
      <c r="W200" s="343"/>
      <c r="Y200" s="313"/>
    </row>
    <row r="201" spans="3:25">
      <c r="C201" s="328" t="s">
        <v>354</v>
      </c>
      <c r="D201" s="345">
        <f t="shared" si="77"/>
        <v>79.626545834195412</v>
      </c>
      <c r="E201" s="330">
        <f t="shared" si="83"/>
        <v>79.626545834195412</v>
      </c>
      <c r="F201" s="331">
        <f>+Q201+Y201</f>
        <v>79.626545834195412</v>
      </c>
      <c r="G201" s="331"/>
      <c r="H201" s="331"/>
      <c r="I201" s="332"/>
      <c r="Q201" s="310">
        <f>SUM(Q199:Q200)</f>
        <v>79.626545834195412</v>
      </c>
      <c r="Y201" s="310"/>
    </row>
    <row r="202" spans="3:25">
      <c r="C202" s="346"/>
      <c r="E202" s="314"/>
      <c r="F202" s="334"/>
      <c r="G202" s="334"/>
      <c r="H202" s="334"/>
      <c r="I202" s="334"/>
    </row>
    <row r="203" spans="3:25">
      <c r="C203" s="317" t="s">
        <v>364</v>
      </c>
      <c r="D203" s="341">
        <f>+E203+E204</f>
        <v>0.19006635554218249</v>
      </c>
      <c r="E203" s="319">
        <f>+E194</f>
        <v>0.56705747397295769</v>
      </c>
      <c r="F203" s="320">
        <v>0</v>
      </c>
      <c r="G203" s="320">
        <f>+G194</f>
        <v>0.95</v>
      </c>
      <c r="H203" s="320"/>
      <c r="I203" s="321">
        <f>+H173</f>
        <v>0.2</v>
      </c>
      <c r="K203" s="311" t="s">
        <v>365</v>
      </c>
      <c r="L203" s="309" t="s">
        <v>377</v>
      </c>
      <c r="M203" s="312" t="s">
        <v>347</v>
      </c>
      <c r="N203" s="309" t="s">
        <v>227</v>
      </c>
      <c r="O203" s="309" t="s">
        <v>348</v>
      </c>
      <c r="P203" s="309" t="s">
        <v>349</v>
      </c>
      <c r="Q203" s="309" t="s">
        <v>350</v>
      </c>
    </row>
    <row r="204" spans="3:25">
      <c r="C204" s="322"/>
      <c r="D204" s="344"/>
      <c r="E204" s="324">
        <f t="shared" ref="E204:E209" si="84">+PRODUCT(F204:I204)</f>
        <v>-0.37699111843077521</v>
      </c>
      <c r="F204" s="325">
        <v>-1</v>
      </c>
      <c r="G204" s="349">
        <f>2*PI()*0.3</f>
        <v>1.8849555921538759</v>
      </c>
      <c r="H204" s="349"/>
      <c r="I204" s="326">
        <f>+I203</f>
        <v>0.2</v>
      </c>
      <c r="K204" s="312" t="s">
        <v>352</v>
      </c>
      <c r="L204" s="350">
        <v>1.05</v>
      </c>
      <c r="M204" s="312">
        <v>1</v>
      </c>
      <c r="N204" s="312">
        <v>13</v>
      </c>
      <c r="O204" s="343">
        <v>0.375</v>
      </c>
      <c r="P204" s="312">
        <v>0.56000000000000005</v>
      </c>
      <c r="Q204" s="313">
        <f>+L204*M204*N204*P204*1.075</f>
        <v>8.2173000000000016</v>
      </c>
    </row>
    <row r="205" spans="3:25">
      <c r="C205" s="322" t="s">
        <v>353</v>
      </c>
      <c r="D205" s="344">
        <f>SUM(E205:E208)</f>
        <v>1.4844025288211773</v>
      </c>
      <c r="E205" s="324">
        <f>+F205*PI()*G205^2</f>
        <v>1.7671458676442586</v>
      </c>
      <c r="F205" s="325">
        <v>1</v>
      </c>
      <c r="G205" s="325">
        <f>+G203-H172</f>
        <v>0.75</v>
      </c>
      <c r="H205" s="325"/>
      <c r="I205" s="326"/>
      <c r="K205" s="312" t="s">
        <v>357</v>
      </c>
      <c r="L205" s="312">
        <v>1.05</v>
      </c>
      <c r="M205" s="312">
        <v>1</v>
      </c>
      <c r="N205" s="312">
        <v>13</v>
      </c>
      <c r="O205" s="343">
        <v>0.375</v>
      </c>
      <c r="P205" s="312">
        <v>0.56000000000000005</v>
      </c>
      <c r="Q205" s="313">
        <f>+L205*M205*N205*P205*1.075</f>
        <v>8.2173000000000016</v>
      </c>
    </row>
    <row r="206" spans="3:25">
      <c r="C206" s="322"/>
      <c r="D206" s="344"/>
      <c r="E206" s="324">
        <f>+F206*PI()*G206^2</f>
        <v>-0.28274333882308139</v>
      </c>
      <c r="F206" s="325">
        <v>-1</v>
      </c>
      <c r="G206" s="325">
        <v>0.3</v>
      </c>
      <c r="H206" s="325"/>
      <c r="I206" s="326"/>
      <c r="L206" s="312">
        <f>+L205</f>
        <v>1.05</v>
      </c>
      <c r="M206" s="312">
        <v>1</v>
      </c>
      <c r="N206" s="312">
        <v>2</v>
      </c>
      <c r="O206" s="343">
        <v>0.5</v>
      </c>
      <c r="P206" s="312">
        <v>0.99</v>
      </c>
      <c r="Q206" s="313">
        <f>+L206*M206*N206*P206*1.075</f>
        <v>2.2349250000000001</v>
      </c>
    </row>
    <row r="207" spans="3:25">
      <c r="C207" s="322"/>
      <c r="D207" s="344"/>
      <c r="E207" s="324">
        <f t="shared" si="84"/>
        <v>0</v>
      </c>
      <c r="F207" s="325">
        <v>1</v>
      </c>
      <c r="G207" s="325">
        <f>+G204*2</f>
        <v>3.7699111843077517</v>
      </c>
      <c r="H207" s="325">
        <f>+H204*2</f>
        <v>0</v>
      </c>
      <c r="I207" s="347">
        <v>0.35</v>
      </c>
      <c r="Q207" s="310">
        <f>SUM(Q204:Q206)</f>
        <v>18.669525000000004</v>
      </c>
    </row>
    <row r="208" spans="3:25">
      <c r="C208" s="322"/>
      <c r="D208" s="344"/>
      <c r="E208" s="324">
        <f t="shared" si="84"/>
        <v>0</v>
      </c>
      <c r="F208" s="325">
        <v>1</v>
      </c>
      <c r="G208" s="325">
        <f>+G207</f>
        <v>3.7699111843077517</v>
      </c>
      <c r="H208" s="325">
        <f>+H207</f>
        <v>0</v>
      </c>
      <c r="I208" s="347">
        <v>0.15</v>
      </c>
    </row>
    <row r="209" spans="3:25">
      <c r="C209" s="328" t="s">
        <v>354</v>
      </c>
      <c r="D209" s="345">
        <f t="shared" si="77"/>
        <v>18.669525000000004</v>
      </c>
      <c r="E209" s="330">
        <f t="shared" si="84"/>
        <v>18.669525000000004</v>
      </c>
      <c r="F209" s="331">
        <f>+Q207</f>
        <v>18.669525000000004</v>
      </c>
      <c r="G209" s="331"/>
      <c r="H209" s="331"/>
      <c r="I209" s="332"/>
    </row>
    <row r="210" spans="3:25">
      <c r="C210" s="346"/>
      <c r="E210" s="314"/>
      <c r="F210" s="334"/>
      <c r="G210" s="334"/>
      <c r="H210" s="334"/>
      <c r="I210" s="334"/>
    </row>
    <row r="211" spans="3:25">
      <c r="C211" s="335" t="s">
        <v>366</v>
      </c>
      <c r="D211" s="336">
        <f t="shared" si="77"/>
        <v>11.21548577331556</v>
      </c>
      <c r="E211" s="337">
        <f>+F211*2*PI()*G211*I211</f>
        <v>11.21548577331556</v>
      </c>
      <c r="F211" s="338">
        <v>1</v>
      </c>
      <c r="G211" s="338">
        <f>+G205</f>
        <v>0.75</v>
      </c>
      <c r="H211" s="338"/>
      <c r="I211" s="339">
        <f>+I198</f>
        <v>2.38</v>
      </c>
    </row>
    <row r="212" spans="3:25">
      <c r="C212" s="346"/>
      <c r="E212" s="314"/>
      <c r="F212" s="334"/>
      <c r="G212" s="334"/>
      <c r="H212" s="334"/>
      <c r="I212" s="334"/>
    </row>
    <row r="213" spans="3:25">
      <c r="C213" s="335" t="s">
        <v>367</v>
      </c>
      <c r="D213" s="336">
        <f t="shared" si="77"/>
        <v>4.7123889803846897</v>
      </c>
      <c r="E213" s="337">
        <f>+F213*2*PI()*G213</f>
        <v>4.7123889803846897</v>
      </c>
      <c r="F213" s="338">
        <v>1</v>
      </c>
      <c r="G213" s="338">
        <f>+G211</f>
        <v>0.75</v>
      </c>
      <c r="H213" s="338"/>
      <c r="I213" s="339"/>
    </row>
    <row r="214" spans="3:25">
      <c r="C214" s="346"/>
      <c r="E214" s="314"/>
      <c r="F214" s="334"/>
      <c r="G214" s="334"/>
      <c r="H214" s="334"/>
      <c r="I214" s="334"/>
    </row>
    <row r="215" spans="3:25">
      <c r="C215" s="335" t="s">
        <v>368</v>
      </c>
      <c r="D215" s="336">
        <f t="shared" si="77"/>
        <v>2.38</v>
      </c>
      <c r="E215" s="337">
        <f t="shared" ref="E215" si="85">+PRODUCT(F215:I215)</f>
        <v>2.38</v>
      </c>
      <c r="F215" s="338">
        <v>1</v>
      </c>
      <c r="G215" s="338">
        <f>+E174</f>
        <v>2.38</v>
      </c>
      <c r="H215" s="338"/>
      <c r="I215" s="339"/>
    </row>
    <row r="216" spans="3:25">
      <c r="C216" s="346"/>
      <c r="E216" s="314"/>
      <c r="F216" s="334"/>
      <c r="G216" s="334"/>
      <c r="H216" s="334"/>
      <c r="I216" s="334"/>
    </row>
    <row r="217" spans="3:25" s="313" customFormat="1">
      <c r="C217" s="335" t="s">
        <v>369</v>
      </c>
      <c r="D217" s="336">
        <f t="shared" si="77"/>
        <v>1</v>
      </c>
      <c r="E217" s="337">
        <f t="shared" ref="E217" si="86">+PRODUCT(F217:I217)</f>
        <v>1</v>
      </c>
      <c r="F217" s="338">
        <v>1</v>
      </c>
      <c r="G217" s="348">
        <v>1</v>
      </c>
      <c r="H217" s="338"/>
      <c r="I217" s="339"/>
      <c r="K217" s="312"/>
      <c r="L217" s="312"/>
      <c r="M217" s="312"/>
      <c r="N217" s="312"/>
      <c r="O217" s="312"/>
      <c r="P217" s="312"/>
      <c r="Q217" s="312"/>
      <c r="R217" s="312"/>
      <c r="S217" s="312"/>
      <c r="T217" s="312"/>
      <c r="U217" s="312"/>
      <c r="V217" s="312"/>
      <c r="W217" s="312"/>
      <c r="X217" s="312"/>
      <c r="Y217" s="312"/>
    </row>
    <row r="218" spans="3:25" s="313" customFormat="1">
      <c r="C218" s="346"/>
      <c r="E218" s="314"/>
      <c r="F218" s="334"/>
      <c r="G218" s="334"/>
      <c r="H218" s="334"/>
      <c r="I218" s="334"/>
      <c r="K218" s="312"/>
      <c r="L218" s="312"/>
      <c r="M218" s="312"/>
      <c r="N218" s="312"/>
      <c r="O218" s="312"/>
      <c r="P218" s="312"/>
      <c r="Q218" s="312"/>
      <c r="R218" s="312"/>
      <c r="S218" s="312"/>
      <c r="T218" s="312"/>
      <c r="U218" s="312"/>
      <c r="V218" s="312"/>
      <c r="W218" s="312"/>
      <c r="X218" s="312"/>
      <c r="Y218" s="312"/>
    </row>
    <row r="219" spans="3:25" s="313" customFormat="1">
      <c r="C219" s="335" t="s">
        <v>370</v>
      </c>
      <c r="D219" s="336">
        <f t="shared" si="77"/>
        <v>1</v>
      </c>
      <c r="E219" s="337">
        <f t="shared" ref="E219" si="87">+PRODUCT(F219:I219)</f>
        <v>1</v>
      </c>
      <c r="F219" s="338">
        <v>1</v>
      </c>
      <c r="G219" s="348">
        <v>1</v>
      </c>
      <c r="H219" s="338"/>
      <c r="I219" s="339"/>
      <c r="K219" s="312"/>
      <c r="L219" s="312"/>
      <c r="M219" s="312"/>
      <c r="N219" s="312"/>
      <c r="O219" s="312"/>
      <c r="P219" s="312"/>
      <c r="Q219" s="312"/>
      <c r="R219" s="312"/>
      <c r="S219" s="312"/>
      <c r="T219" s="312"/>
      <c r="U219" s="312"/>
      <c r="V219" s="312"/>
      <c r="W219" s="312"/>
      <c r="X219" s="312"/>
      <c r="Y219" s="312"/>
    </row>
  </sheetData>
  <mergeCells count="5">
    <mergeCell ref="D6:I6"/>
    <mergeCell ref="D7:I7"/>
    <mergeCell ref="C3:I3"/>
    <mergeCell ref="D4:I4"/>
    <mergeCell ref="D5:I5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rowBreaks count="2" manualBreakCount="2">
    <brk id="59" min="1" max="9" man="1"/>
    <brk id="169" min="1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270"/>
  <sheetViews>
    <sheetView showGridLines="0" view="pageBreakPreview" zoomScale="85" zoomScaleNormal="100" zoomScaleSheetLayoutView="85" workbookViewId="0">
      <selection activeCell="M13" sqref="M13"/>
    </sheetView>
  </sheetViews>
  <sheetFormatPr baseColWidth="10" defaultColWidth="11.44140625" defaultRowHeight="12"/>
  <cols>
    <col min="1" max="1" width="11.44140625" style="312"/>
    <col min="2" max="2" width="1.88671875" style="312" customWidth="1"/>
    <col min="3" max="3" width="14.33203125" style="312" customWidth="1"/>
    <col min="4" max="8" width="14.33203125" style="313" customWidth="1"/>
    <col min="9" max="9" width="14.33203125" style="315" customWidth="1"/>
    <col min="10" max="10" width="2.33203125" style="313" customWidth="1"/>
    <col min="11" max="16384" width="11.44140625" style="312"/>
  </cols>
  <sheetData>
    <row r="2" spans="3:9" ht="12.6" thickBot="1"/>
    <row r="3" spans="3:9" ht="30.75" customHeight="1" thickBot="1">
      <c r="C3" s="773" t="s">
        <v>122</v>
      </c>
      <c r="D3" s="774"/>
      <c r="E3" s="774"/>
      <c r="F3" s="774"/>
      <c r="G3" s="774"/>
      <c r="H3" s="774"/>
      <c r="I3" s="775"/>
    </row>
    <row r="4" spans="3:9" ht="21.75" customHeight="1">
      <c r="C4" s="371" t="s">
        <v>123</v>
      </c>
      <c r="D4" s="776" t="s">
        <v>263</v>
      </c>
      <c r="E4" s="776"/>
      <c r="F4" s="776"/>
      <c r="G4" s="776"/>
      <c r="H4" s="776"/>
      <c r="I4" s="777"/>
    </row>
    <row r="5" spans="3:9" ht="21.75" customHeight="1">
      <c r="C5" s="13" t="s">
        <v>131</v>
      </c>
      <c r="D5" s="705" t="s">
        <v>264</v>
      </c>
      <c r="E5" s="705"/>
      <c r="F5" s="705"/>
      <c r="G5" s="705"/>
      <c r="H5" s="705"/>
      <c r="I5" s="706"/>
    </row>
    <row r="6" spans="3:9" ht="21.75" customHeight="1">
      <c r="C6" s="13" t="s">
        <v>125</v>
      </c>
      <c r="D6" s="705" t="s">
        <v>126</v>
      </c>
      <c r="E6" s="705"/>
      <c r="F6" s="705"/>
      <c r="G6" s="705"/>
      <c r="H6" s="705"/>
      <c r="I6" s="706"/>
    </row>
    <row r="7" spans="3:9" ht="21.75" customHeight="1" thickBot="1">
      <c r="C7" s="14" t="s">
        <v>127</v>
      </c>
      <c r="D7" s="778" t="s">
        <v>265</v>
      </c>
      <c r="E7" s="778"/>
      <c r="F7" s="778"/>
      <c r="G7" s="778"/>
      <c r="H7" s="778"/>
      <c r="I7" s="779"/>
    </row>
    <row r="9" spans="3:9" s="375" customFormat="1" ht="21">
      <c r="C9" s="372" t="s">
        <v>378</v>
      </c>
      <c r="D9" s="373"/>
      <c r="E9" s="373"/>
      <c r="F9" s="373"/>
      <c r="G9" s="373"/>
      <c r="H9" s="373"/>
      <c r="I9" s="374"/>
    </row>
    <row r="10" spans="3:9" s="313" customFormat="1">
      <c r="C10" s="316"/>
      <c r="D10" s="314" t="s">
        <v>329</v>
      </c>
      <c r="E10" s="314">
        <v>2.6</v>
      </c>
      <c r="F10" s="314"/>
      <c r="G10" s="314" t="s">
        <v>330</v>
      </c>
      <c r="H10" s="314">
        <v>0.2</v>
      </c>
      <c r="I10" s="315"/>
    </row>
    <row r="11" spans="3:9" s="313" customFormat="1">
      <c r="C11" s="316"/>
      <c r="D11" s="314" t="s">
        <v>331</v>
      </c>
      <c r="E11" s="314">
        <v>2</v>
      </c>
      <c r="F11" s="314"/>
      <c r="G11" s="314" t="s">
        <v>332</v>
      </c>
      <c r="H11" s="314">
        <v>0.2</v>
      </c>
      <c r="I11" s="315"/>
    </row>
    <row r="12" spans="3:9" s="313" customFormat="1">
      <c r="C12" s="316"/>
      <c r="D12" s="314" t="s">
        <v>333</v>
      </c>
      <c r="E12" s="314">
        <v>1.95</v>
      </c>
      <c r="F12" s="314"/>
      <c r="G12" s="314" t="s">
        <v>334</v>
      </c>
      <c r="H12" s="314">
        <v>0.2</v>
      </c>
      <c r="I12" s="315"/>
    </row>
    <row r="13" spans="3:9" s="313" customFormat="1">
      <c r="C13" s="316"/>
      <c r="D13" s="314" t="s">
        <v>335</v>
      </c>
      <c r="E13" s="314">
        <v>1.33</v>
      </c>
      <c r="F13" s="314"/>
      <c r="G13" s="314"/>
      <c r="H13" s="314"/>
      <c r="I13" s="315"/>
    </row>
    <row r="14" spans="3:9" s="313" customFormat="1">
      <c r="C14" s="316"/>
      <c r="I14" s="315"/>
    </row>
    <row r="15" spans="3:9" s="313" customFormat="1">
      <c r="C15" s="312"/>
      <c r="F15" s="313" t="s">
        <v>227</v>
      </c>
      <c r="G15" s="313" t="s">
        <v>336</v>
      </c>
      <c r="H15" s="313" t="s">
        <v>226</v>
      </c>
      <c r="I15" s="313" t="s">
        <v>2</v>
      </c>
    </row>
    <row r="16" spans="3:9">
      <c r="C16" s="317" t="s">
        <v>337</v>
      </c>
      <c r="D16" s="318">
        <f>+E16</f>
        <v>5.2</v>
      </c>
      <c r="E16" s="319">
        <f>+PRODUCT(F16:I16)</f>
        <v>5.2</v>
      </c>
      <c r="F16" s="320">
        <v>1</v>
      </c>
      <c r="G16" s="320">
        <f>+E10</f>
        <v>2.6</v>
      </c>
      <c r="H16" s="320">
        <f>+E11</f>
        <v>2</v>
      </c>
      <c r="I16" s="321"/>
    </row>
    <row r="17" spans="3:17">
      <c r="C17" s="322" t="s">
        <v>338</v>
      </c>
      <c r="D17" s="323">
        <f t="shared" ref="D17" si="0">+E17</f>
        <v>5.2</v>
      </c>
      <c r="E17" s="324">
        <f t="shared" ref="E17:E23" si="1">+PRODUCT(F17:I17)</f>
        <v>5.2</v>
      </c>
      <c r="F17" s="325">
        <f t="shared" ref="F17:H18" si="2">+F16</f>
        <v>1</v>
      </c>
      <c r="G17" s="325">
        <f t="shared" si="2"/>
        <v>2.6</v>
      </c>
      <c r="H17" s="325">
        <f t="shared" si="2"/>
        <v>2</v>
      </c>
      <c r="I17" s="326"/>
    </row>
    <row r="18" spans="3:17">
      <c r="C18" s="322" t="s">
        <v>339</v>
      </c>
      <c r="D18" s="323">
        <f>SUM(E18:E20)</f>
        <v>16.314</v>
      </c>
      <c r="E18" s="324">
        <f t="shared" si="1"/>
        <v>10.14</v>
      </c>
      <c r="F18" s="325">
        <f t="shared" si="2"/>
        <v>1</v>
      </c>
      <c r="G18" s="325">
        <f t="shared" si="2"/>
        <v>2.6</v>
      </c>
      <c r="H18" s="325">
        <f t="shared" si="2"/>
        <v>2</v>
      </c>
      <c r="I18" s="326">
        <f>+E12</f>
        <v>1.95</v>
      </c>
    </row>
    <row r="19" spans="3:17">
      <c r="C19" s="327" t="s">
        <v>340</v>
      </c>
      <c r="D19" s="324"/>
      <c r="E19" s="324">
        <f t="shared" si="1"/>
        <v>6.0839999999999996</v>
      </c>
      <c r="F19" s="325">
        <v>1</v>
      </c>
      <c r="G19" s="325">
        <f>+(G18*2+1.2)+H18*2</f>
        <v>10.4</v>
      </c>
      <c r="H19" s="325">
        <v>0.3</v>
      </c>
      <c r="I19" s="326">
        <f>+I18</f>
        <v>1.95</v>
      </c>
    </row>
    <row r="20" spans="3:17">
      <c r="C20" s="327"/>
      <c r="D20" s="324"/>
      <c r="E20" s="324">
        <f t="shared" si="1"/>
        <v>0.09</v>
      </c>
      <c r="F20" s="325">
        <v>1</v>
      </c>
      <c r="G20" s="325">
        <v>0.3</v>
      </c>
      <c r="H20" s="325">
        <v>0.3</v>
      </c>
      <c r="I20" s="326">
        <v>1</v>
      </c>
    </row>
    <row r="21" spans="3:17">
      <c r="C21" s="322" t="s">
        <v>341</v>
      </c>
      <c r="D21" s="323">
        <f>+E21</f>
        <v>5.2</v>
      </c>
      <c r="E21" s="324">
        <f t="shared" si="1"/>
        <v>5.2</v>
      </c>
      <c r="F21" s="325">
        <f>+F18</f>
        <v>1</v>
      </c>
      <c r="G21" s="325">
        <f>+G18</f>
        <v>2.6</v>
      </c>
      <c r="H21" s="325">
        <f>+H18</f>
        <v>2</v>
      </c>
      <c r="I21" s="326"/>
    </row>
    <row r="22" spans="3:17">
      <c r="C22" s="322" t="s">
        <v>342</v>
      </c>
      <c r="D22" s="323">
        <f t="shared" ref="D22:D58" si="3">+E22</f>
        <v>6.0839999999999996</v>
      </c>
      <c r="E22" s="324">
        <f t="shared" si="1"/>
        <v>6.0839999999999996</v>
      </c>
      <c r="F22" s="325">
        <f>+E19</f>
        <v>6.0839999999999996</v>
      </c>
      <c r="G22" s="325"/>
      <c r="H22" s="325"/>
      <c r="I22" s="326"/>
    </row>
    <row r="23" spans="3:17">
      <c r="C23" s="328" t="s">
        <v>343</v>
      </c>
      <c r="D23" s="329">
        <f t="shared" si="3"/>
        <v>10.23</v>
      </c>
      <c r="E23" s="330">
        <f t="shared" si="1"/>
        <v>10.23</v>
      </c>
      <c r="F23" s="331">
        <f>+D18-D22</f>
        <v>10.23</v>
      </c>
      <c r="G23" s="331"/>
      <c r="H23" s="331"/>
      <c r="I23" s="332"/>
    </row>
    <row r="24" spans="3:17">
      <c r="C24" s="333"/>
      <c r="D24" s="310"/>
      <c r="E24" s="314"/>
      <c r="F24" s="334"/>
      <c r="G24" s="334"/>
      <c r="H24" s="334"/>
      <c r="I24" s="334"/>
    </row>
    <row r="25" spans="3:17">
      <c r="C25" s="335" t="s">
        <v>344</v>
      </c>
      <c r="D25" s="336">
        <f t="shared" si="3"/>
        <v>6.3E-2</v>
      </c>
      <c r="E25" s="337">
        <f t="shared" ref="E25" si="4">+PRODUCT(F25:I25)</f>
        <v>6.3E-2</v>
      </c>
      <c r="F25" s="338">
        <v>1</v>
      </c>
      <c r="G25" s="338">
        <v>0.3</v>
      </c>
      <c r="H25" s="338">
        <v>0.3</v>
      </c>
      <c r="I25" s="339">
        <v>0.7</v>
      </c>
    </row>
    <row r="26" spans="3:17">
      <c r="C26" s="333"/>
      <c r="D26" s="310"/>
      <c r="E26" s="314"/>
      <c r="F26" s="334"/>
      <c r="G26" s="334"/>
      <c r="H26" s="334"/>
      <c r="I26" s="334"/>
    </row>
    <row r="27" spans="3:17">
      <c r="C27" s="335" t="s">
        <v>345</v>
      </c>
      <c r="D27" s="336">
        <f t="shared" si="3"/>
        <v>0.52</v>
      </c>
      <c r="E27" s="337">
        <f t="shared" ref="E27" si="5">+PRODUCT(F27:I27)</f>
        <v>0.52</v>
      </c>
      <c r="F27" s="338">
        <f>+F16</f>
        <v>1</v>
      </c>
      <c r="G27" s="338">
        <f>+G16</f>
        <v>2.6</v>
      </c>
      <c r="H27" s="338">
        <f>+H16</f>
        <v>2</v>
      </c>
      <c r="I27" s="339">
        <v>0.1</v>
      </c>
    </row>
    <row r="28" spans="3:17">
      <c r="C28" s="333"/>
      <c r="D28" s="340"/>
      <c r="F28" s="334"/>
      <c r="G28" s="334"/>
      <c r="H28" s="334"/>
      <c r="I28" s="334"/>
      <c r="K28" s="311" t="s">
        <v>346</v>
      </c>
      <c r="L28" s="309" t="s">
        <v>336</v>
      </c>
      <c r="M28" s="312" t="s">
        <v>347</v>
      </c>
      <c r="N28" s="309" t="s">
        <v>227</v>
      </c>
      <c r="O28" s="309" t="s">
        <v>348</v>
      </c>
      <c r="P28" s="309" t="s">
        <v>349</v>
      </c>
      <c r="Q28" s="309" t="s">
        <v>350</v>
      </c>
    </row>
    <row r="29" spans="3:17">
      <c r="C29" s="317" t="s">
        <v>351</v>
      </c>
      <c r="D29" s="341">
        <f t="shared" si="3"/>
        <v>5.4450000000000005E-2</v>
      </c>
      <c r="E29" s="319">
        <f t="shared" ref="E29:E31" si="6">+PRODUCT(F29:I29)</f>
        <v>5.4450000000000005E-2</v>
      </c>
      <c r="F29" s="320">
        <v>1</v>
      </c>
      <c r="G29" s="342">
        <v>0.55000000000000004</v>
      </c>
      <c r="H29" s="320">
        <v>0.22</v>
      </c>
      <c r="I29" s="321">
        <v>0.45</v>
      </c>
      <c r="K29" s="312" t="s">
        <v>352</v>
      </c>
      <c r="L29" s="312">
        <f>+G29+0.3*2-0.08</f>
        <v>1.0699999999999998</v>
      </c>
      <c r="M29" s="312">
        <v>2</v>
      </c>
      <c r="N29" s="312">
        <f>ROUND((G29-0.08)/0.15+1,0)</f>
        <v>4</v>
      </c>
      <c r="O29" s="343">
        <v>0.375</v>
      </c>
      <c r="P29" s="312">
        <v>0.56000000000000005</v>
      </c>
      <c r="Q29" s="313">
        <f>+L29*M29*N29*P29</f>
        <v>4.7935999999999996</v>
      </c>
    </row>
    <row r="30" spans="3:17">
      <c r="C30" s="322" t="s">
        <v>353</v>
      </c>
      <c r="D30" s="344">
        <f t="shared" si="3"/>
        <v>0.73919999999999997</v>
      </c>
      <c r="E30" s="324">
        <f t="shared" si="6"/>
        <v>0.73919999999999997</v>
      </c>
      <c r="F30" s="325">
        <v>1</v>
      </c>
      <c r="G30" s="325">
        <f>+G29*2+H29*2</f>
        <v>1.54</v>
      </c>
      <c r="H30" s="325"/>
      <c r="I30" s="326">
        <v>0.48</v>
      </c>
    </row>
    <row r="31" spans="3:17">
      <c r="C31" s="328" t="s">
        <v>354</v>
      </c>
      <c r="D31" s="345">
        <f t="shared" si="3"/>
        <v>4.7935999999999996</v>
      </c>
      <c r="E31" s="330">
        <f t="shared" si="6"/>
        <v>4.7935999999999996</v>
      </c>
      <c r="F31" s="331">
        <f>+Q29</f>
        <v>4.7935999999999996</v>
      </c>
      <c r="G31" s="331"/>
      <c r="H31" s="331"/>
      <c r="I31" s="332"/>
    </row>
    <row r="32" spans="3:17">
      <c r="C32" s="333"/>
      <c r="D32" s="310"/>
      <c r="E32" s="314"/>
      <c r="F32" s="334"/>
      <c r="G32" s="334"/>
      <c r="H32" s="334"/>
      <c r="I32" s="334"/>
      <c r="K32" s="311" t="s">
        <v>355</v>
      </c>
      <c r="L32" s="309" t="s">
        <v>336</v>
      </c>
      <c r="M32" s="312" t="s">
        <v>347</v>
      </c>
      <c r="N32" s="309" t="s">
        <v>227</v>
      </c>
      <c r="O32" s="309" t="s">
        <v>348</v>
      </c>
      <c r="P32" s="309" t="s">
        <v>349</v>
      </c>
      <c r="Q32" s="309" t="s">
        <v>350</v>
      </c>
    </row>
    <row r="33" spans="3:25">
      <c r="C33" s="317" t="s">
        <v>356</v>
      </c>
      <c r="D33" s="341">
        <f t="shared" si="3"/>
        <v>1.04</v>
      </c>
      <c r="E33" s="319">
        <f t="shared" ref="E33:E35" si="7">+PRODUCT(F33:I33)</f>
        <v>1.04</v>
      </c>
      <c r="F33" s="320">
        <v>1</v>
      </c>
      <c r="G33" s="320">
        <f>+E10</f>
        <v>2.6</v>
      </c>
      <c r="H33" s="320">
        <f>+E11</f>
        <v>2</v>
      </c>
      <c r="I33" s="321">
        <f>+H10</f>
        <v>0.2</v>
      </c>
      <c r="K33" s="312" t="s">
        <v>352</v>
      </c>
      <c r="L33" s="312">
        <f>+E10+0.3*2-0.08</f>
        <v>3.12</v>
      </c>
      <c r="M33" s="312">
        <v>2</v>
      </c>
      <c r="N33" s="312">
        <f>ROUND((E11-0.08)/0.25+1,0)</f>
        <v>9</v>
      </c>
      <c r="O33" s="343">
        <v>0.375</v>
      </c>
      <c r="P33" s="312">
        <v>0.56000000000000005</v>
      </c>
      <c r="Q33" s="313">
        <f>+L33*M33*N33*P33</f>
        <v>31.449600000000004</v>
      </c>
    </row>
    <row r="34" spans="3:25">
      <c r="C34" s="322" t="s">
        <v>353</v>
      </c>
      <c r="D34" s="344">
        <f t="shared" si="3"/>
        <v>1.8399999999999999</v>
      </c>
      <c r="E34" s="324">
        <f t="shared" si="7"/>
        <v>1.8399999999999999</v>
      </c>
      <c r="F34" s="325">
        <v>1</v>
      </c>
      <c r="G34" s="325">
        <f>+G33*2+H33*2</f>
        <v>9.1999999999999993</v>
      </c>
      <c r="H34" s="325"/>
      <c r="I34" s="326">
        <f>+I33</f>
        <v>0.2</v>
      </c>
      <c r="K34" s="312" t="s">
        <v>357</v>
      </c>
      <c r="L34" s="312">
        <f>+E11+0.3*2-0.08</f>
        <v>2.52</v>
      </c>
      <c r="M34" s="312">
        <v>2</v>
      </c>
      <c r="N34" s="312">
        <f>ROUND((E10-0.08)/0.25+1,0)</f>
        <v>11</v>
      </c>
      <c r="O34" s="343">
        <v>0.375</v>
      </c>
      <c r="P34" s="312">
        <v>0.56000000000000005</v>
      </c>
      <c r="Q34" s="313">
        <f>+L34*M34*N34*P34</f>
        <v>31.046400000000002</v>
      </c>
    </row>
    <row r="35" spans="3:25">
      <c r="C35" s="328" t="s">
        <v>354</v>
      </c>
      <c r="D35" s="345">
        <f t="shared" si="3"/>
        <v>62.496000000000009</v>
      </c>
      <c r="E35" s="330">
        <f t="shared" si="7"/>
        <v>62.496000000000009</v>
      </c>
      <c r="F35" s="331">
        <f>+Q35</f>
        <v>62.496000000000009</v>
      </c>
      <c r="G35" s="331"/>
      <c r="H35" s="331"/>
      <c r="I35" s="332"/>
      <c r="Q35" s="310">
        <f>SUM(Q33:Q34)</f>
        <v>62.496000000000009</v>
      </c>
    </row>
    <row r="36" spans="3:25">
      <c r="C36" s="333"/>
      <c r="D36" s="310"/>
      <c r="E36" s="314"/>
      <c r="F36" s="334"/>
      <c r="G36" s="334"/>
      <c r="H36" s="334"/>
      <c r="I36" s="334"/>
    </row>
    <row r="37" spans="3:25">
      <c r="C37" s="317" t="s">
        <v>358</v>
      </c>
      <c r="D37" s="341">
        <f t="shared" si="3"/>
        <v>2.2344000000000004</v>
      </c>
      <c r="E37" s="319">
        <f t="shared" ref="E37:E40" si="8">+PRODUCT(F37:I37)</f>
        <v>2.2344000000000004</v>
      </c>
      <c r="F37" s="320">
        <v>1</v>
      </c>
      <c r="G37" s="320">
        <f>+E10*2+(E11-2*H11)*2</f>
        <v>8.4</v>
      </c>
      <c r="H37" s="320">
        <f>+H11</f>
        <v>0.2</v>
      </c>
      <c r="I37" s="321">
        <f>+E13</f>
        <v>1.33</v>
      </c>
      <c r="K37" s="311" t="s">
        <v>359</v>
      </c>
      <c r="L37" s="309" t="s">
        <v>336</v>
      </c>
      <c r="M37" s="312" t="s">
        <v>360</v>
      </c>
      <c r="N37" s="309" t="s">
        <v>227</v>
      </c>
      <c r="O37" s="309" t="s">
        <v>348</v>
      </c>
      <c r="P37" s="309" t="s">
        <v>349</v>
      </c>
      <c r="Q37" s="309" t="s">
        <v>350</v>
      </c>
      <c r="S37" s="311" t="s">
        <v>361</v>
      </c>
      <c r="T37" s="309" t="s">
        <v>336</v>
      </c>
      <c r="U37" s="312" t="s">
        <v>360</v>
      </c>
      <c r="V37" s="309" t="s">
        <v>227</v>
      </c>
      <c r="W37" s="309" t="s">
        <v>348</v>
      </c>
      <c r="X37" s="309" t="s">
        <v>349</v>
      </c>
      <c r="Y37" s="309" t="s">
        <v>350</v>
      </c>
    </row>
    <row r="38" spans="3:25">
      <c r="C38" s="322" t="s">
        <v>353</v>
      </c>
      <c r="D38" s="344">
        <f>+E38+E39</f>
        <v>22.344000000000001</v>
      </c>
      <c r="E38" s="324">
        <f t="shared" si="8"/>
        <v>12.235999999999999</v>
      </c>
      <c r="F38" s="325">
        <v>1</v>
      </c>
      <c r="G38" s="325">
        <f>+(E10+E11)*2</f>
        <v>9.1999999999999993</v>
      </c>
      <c r="H38" s="325"/>
      <c r="I38" s="326">
        <f>+I37</f>
        <v>1.33</v>
      </c>
      <c r="K38" s="312" t="s">
        <v>362</v>
      </c>
      <c r="L38" s="312">
        <f>+E10+0.3*2-0.08</f>
        <v>3.12</v>
      </c>
      <c r="M38" s="312">
        <f>2+2</f>
        <v>4</v>
      </c>
      <c r="N38" s="312">
        <f>ROUND((E13-0.08)/0.25+1,0)</f>
        <v>6</v>
      </c>
      <c r="O38" s="343">
        <v>0.375</v>
      </c>
      <c r="P38" s="312">
        <v>0.56000000000000005</v>
      </c>
      <c r="Q38" s="313">
        <f t="shared" ref="Q38:Q39" si="9">+L38*M38*N38*P38</f>
        <v>41.9328</v>
      </c>
      <c r="S38" s="312" t="s">
        <v>362</v>
      </c>
      <c r="T38" s="312">
        <f>+E11+0.3*2-0.08</f>
        <v>2.52</v>
      </c>
      <c r="U38" s="312">
        <f>2+2</f>
        <v>4</v>
      </c>
      <c r="V38" s="312">
        <f>ROUND((E13-0.08)/0.25+1,0)</f>
        <v>6</v>
      </c>
      <c r="W38" s="343">
        <v>0.375</v>
      </c>
      <c r="X38" s="312">
        <v>0.56000000000000005</v>
      </c>
      <c r="Y38" s="313">
        <f t="shared" ref="Y38:Y39" si="10">+T38*U38*V38*X38</f>
        <v>33.868800000000007</v>
      </c>
    </row>
    <row r="39" spans="3:25">
      <c r="C39" s="322"/>
      <c r="D39" s="344"/>
      <c r="E39" s="324">
        <f t="shared" si="8"/>
        <v>10.108000000000001</v>
      </c>
      <c r="F39" s="325">
        <v>1</v>
      </c>
      <c r="G39" s="325">
        <f>+(E10-2*H11)*2+(E11-2*H11)*2</f>
        <v>7.6000000000000005</v>
      </c>
      <c r="H39" s="325"/>
      <c r="I39" s="326">
        <f>+I38</f>
        <v>1.33</v>
      </c>
      <c r="K39" s="312" t="s">
        <v>363</v>
      </c>
      <c r="L39" s="312">
        <f>+E13+0.3*2-0.04+H12+H10</f>
        <v>2.2900000000000005</v>
      </c>
      <c r="M39" s="312">
        <f>2+2</f>
        <v>4</v>
      </c>
      <c r="N39" s="312">
        <f>ROUND((E10-0.08)/0.25+1,0)</f>
        <v>11</v>
      </c>
      <c r="O39" s="343">
        <v>0.375</v>
      </c>
      <c r="P39" s="312">
        <v>0.56000000000000005</v>
      </c>
      <c r="Q39" s="313">
        <f t="shared" si="9"/>
        <v>56.425600000000017</v>
      </c>
      <c r="S39" s="312" t="s">
        <v>363</v>
      </c>
      <c r="T39" s="312">
        <f>+E13+0.3*2-0.04+H12+H10</f>
        <v>2.2900000000000005</v>
      </c>
      <c r="U39" s="312">
        <f>2+2</f>
        <v>4</v>
      </c>
      <c r="V39" s="312">
        <f>ROUND((E11-0.08)/0.25+1,0)</f>
        <v>9</v>
      </c>
      <c r="W39" s="343">
        <v>0.375</v>
      </c>
      <c r="X39" s="312">
        <v>0.56000000000000005</v>
      </c>
      <c r="Y39" s="313">
        <f t="shared" si="10"/>
        <v>46.16640000000001</v>
      </c>
    </row>
    <row r="40" spans="3:25">
      <c r="C40" s="328" t="s">
        <v>354</v>
      </c>
      <c r="D40" s="345">
        <f t="shared" si="3"/>
        <v>178.39360000000005</v>
      </c>
      <c r="E40" s="330">
        <f t="shared" si="8"/>
        <v>178.39360000000005</v>
      </c>
      <c r="F40" s="331">
        <f>+Q40+Y40</f>
        <v>178.39360000000005</v>
      </c>
      <c r="G40" s="331"/>
      <c r="H40" s="331"/>
      <c r="I40" s="332"/>
      <c r="Q40" s="310">
        <f>SUM(Q38:Q39)</f>
        <v>98.358400000000017</v>
      </c>
      <c r="Y40" s="310">
        <f>SUM(Y38:Y39)</f>
        <v>80.035200000000017</v>
      </c>
    </row>
    <row r="41" spans="3:25">
      <c r="C41" s="346"/>
      <c r="E41" s="314"/>
      <c r="F41" s="334"/>
      <c r="G41" s="334"/>
      <c r="H41" s="334"/>
      <c r="I41" s="334"/>
    </row>
    <row r="42" spans="3:25">
      <c r="C42" s="317" t="s">
        <v>364</v>
      </c>
      <c r="D42" s="341">
        <f>+E42+E43</f>
        <v>0.98345133223538372</v>
      </c>
      <c r="E42" s="319">
        <f t="shared" ref="E42:E48" si="11">+PRODUCT(F42:I42)</f>
        <v>1.04</v>
      </c>
      <c r="F42" s="320">
        <v>1</v>
      </c>
      <c r="G42" s="320">
        <f>+G33</f>
        <v>2.6</v>
      </c>
      <c r="H42" s="320">
        <f>+H33</f>
        <v>2</v>
      </c>
      <c r="I42" s="321">
        <f>+H12</f>
        <v>0.2</v>
      </c>
      <c r="K42" s="311" t="s">
        <v>365</v>
      </c>
      <c r="L42" s="309" t="s">
        <v>336</v>
      </c>
      <c r="M42" s="312" t="s">
        <v>347</v>
      </c>
      <c r="N42" s="309" t="s">
        <v>227</v>
      </c>
      <c r="O42" s="309" t="s">
        <v>348</v>
      </c>
      <c r="P42" s="309" t="s">
        <v>349</v>
      </c>
      <c r="Q42" s="309" t="s">
        <v>350</v>
      </c>
    </row>
    <row r="43" spans="3:25">
      <c r="C43" s="322"/>
      <c r="D43" s="344"/>
      <c r="E43" s="324">
        <f t="shared" si="11"/>
        <v>-5.6548667764616284E-2</v>
      </c>
      <c r="F43" s="325">
        <v>-1</v>
      </c>
      <c r="G43" s="325">
        <f>+PI()*0.3^2</f>
        <v>0.28274333882308139</v>
      </c>
      <c r="H43" s="325"/>
      <c r="I43" s="326">
        <f>+I42</f>
        <v>0.2</v>
      </c>
      <c r="K43" s="312" t="s">
        <v>352</v>
      </c>
      <c r="L43" s="312">
        <f>+E10+0.3*2-0.08</f>
        <v>3.12</v>
      </c>
      <c r="M43" s="312">
        <v>2</v>
      </c>
      <c r="N43" s="312">
        <f>ROUND((E11-0.08)/0.25+1,0)</f>
        <v>9</v>
      </c>
      <c r="O43" s="343">
        <v>0.375</v>
      </c>
      <c r="P43" s="312">
        <v>0.56000000000000005</v>
      </c>
      <c r="Q43" s="313">
        <f>+L43*M43*N43*P43*1.05</f>
        <v>33.022080000000003</v>
      </c>
    </row>
    <row r="44" spans="3:25">
      <c r="C44" s="322" t="s">
        <v>353</v>
      </c>
      <c r="D44" s="344">
        <f>SUM(E44:E47)</f>
        <v>1.8316813487046275</v>
      </c>
      <c r="E44" s="324">
        <f t="shared" si="11"/>
        <v>1.04</v>
      </c>
      <c r="F44" s="325">
        <v>1</v>
      </c>
      <c r="G44" s="325">
        <f>+G42</f>
        <v>2.6</v>
      </c>
      <c r="H44" s="325">
        <f>+H42</f>
        <v>2</v>
      </c>
      <c r="I44" s="326">
        <f>+I42</f>
        <v>0.2</v>
      </c>
      <c r="K44" s="312" t="s">
        <v>357</v>
      </c>
      <c r="L44" s="312">
        <f>+E11+0.3*2-0.08</f>
        <v>2.52</v>
      </c>
      <c r="M44" s="312">
        <v>2</v>
      </c>
      <c r="N44" s="312">
        <f>ROUND((E10-0.08)/0.25+1,0)</f>
        <v>11</v>
      </c>
      <c r="O44" s="343">
        <v>0.375</v>
      </c>
      <c r="P44" s="312">
        <v>0.56000000000000005</v>
      </c>
      <c r="Q44" s="313">
        <f>+L44*M44*N44*P44*1.05</f>
        <v>32.59872</v>
      </c>
    </row>
    <row r="45" spans="3:25">
      <c r="C45" s="322"/>
      <c r="D45" s="344"/>
      <c r="E45" s="324">
        <f t="shared" si="11"/>
        <v>-0.28274333882308139</v>
      </c>
      <c r="F45" s="325">
        <v>-1</v>
      </c>
      <c r="G45" s="325">
        <f>+G43</f>
        <v>0.28274333882308139</v>
      </c>
      <c r="H45" s="325"/>
      <c r="I45" s="326"/>
      <c r="Q45" s="310">
        <f>SUM(Q43:Q44)</f>
        <v>65.620800000000003</v>
      </c>
    </row>
    <row r="46" spans="3:25">
      <c r="C46" s="322"/>
      <c r="D46" s="344"/>
      <c r="E46" s="324">
        <f t="shared" si="11"/>
        <v>0.60318578948923995</v>
      </c>
      <c r="F46" s="325">
        <v>1</v>
      </c>
      <c r="G46" s="325">
        <f>2*PI()*0.3</f>
        <v>1.8849555921538759</v>
      </c>
      <c r="H46" s="325"/>
      <c r="I46" s="326">
        <f>+E12-E13-H10-0.1</f>
        <v>0.31999999999999984</v>
      </c>
    </row>
    <row r="47" spans="3:25">
      <c r="C47" s="322"/>
      <c r="D47" s="344"/>
      <c r="E47" s="324">
        <f t="shared" si="11"/>
        <v>0.47123889803846897</v>
      </c>
      <c r="F47" s="325">
        <v>1</v>
      </c>
      <c r="G47" s="325">
        <f>2*PI()*0.5</f>
        <v>3.1415926535897931</v>
      </c>
      <c r="H47" s="325"/>
      <c r="I47" s="347">
        <v>0.15</v>
      </c>
    </row>
    <row r="48" spans="3:25" s="313" customFormat="1">
      <c r="C48" s="328" t="s">
        <v>354</v>
      </c>
      <c r="D48" s="345">
        <f t="shared" si="3"/>
        <v>65.620800000000003</v>
      </c>
      <c r="E48" s="330">
        <f t="shared" si="11"/>
        <v>65.620800000000003</v>
      </c>
      <c r="F48" s="331">
        <f>+Q45</f>
        <v>65.620800000000003</v>
      </c>
      <c r="G48" s="331"/>
      <c r="H48" s="331"/>
      <c r="I48" s="332"/>
      <c r="K48" s="312"/>
      <c r="L48" s="312"/>
      <c r="M48" s="312"/>
      <c r="N48" s="312"/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</row>
    <row r="49" spans="3:25" s="313" customFormat="1">
      <c r="C49" s="346"/>
      <c r="E49" s="314"/>
      <c r="F49" s="334"/>
      <c r="G49" s="334"/>
      <c r="H49" s="334"/>
      <c r="I49" s="334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</row>
    <row r="50" spans="3:25" s="313" customFormat="1">
      <c r="C50" s="335" t="s">
        <v>366</v>
      </c>
      <c r="D50" s="336">
        <f t="shared" si="3"/>
        <v>10.108000000000001</v>
      </c>
      <c r="E50" s="337">
        <f t="shared" ref="E50" si="12">+PRODUCT(F50:I50)</f>
        <v>10.108000000000001</v>
      </c>
      <c r="F50" s="338">
        <v>1</v>
      </c>
      <c r="G50" s="338">
        <f>+G39</f>
        <v>7.6000000000000005</v>
      </c>
      <c r="H50" s="338"/>
      <c r="I50" s="339">
        <f>+I37</f>
        <v>1.33</v>
      </c>
      <c r="K50" s="312"/>
      <c r="L50" s="312"/>
      <c r="M50" s="312"/>
      <c r="N50" s="312"/>
      <c r="O50" s="312"/>
      <c r="P50" s="312"/>
      <c r="Q50" s="312"/>
      <c r="R50" s="312"/>
      <c r="S50" s="312"/>
      <c r="T50" s="312"/>
      <c r="U50" s="312"/>
      <c r="V50" s="312"/>
      <c r="W50" s="312"/>
      <c r="X50" s="312"/>
      <c r="Y50" s="312"/>
    </row>
    <row r="51" spans="3:25" s="313" customFormat="1">
      <c r="C51" s="346"/>
      <c r="E51" s="314"/>
      <c r="F51" s="334"/>
      <c r="G51" s="334"/>
      <c r="H51" s="334"/>
      <c r="I51" s="334"/>
      <c r="K51" s="312"/>
      <c r="L51" s="312"/>
      <c r="M51" s="312"/>
      <c r="N51" s="312"/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</row>
    <row r="52" spans="3:25" s="313" customFormat="1">
      <c r="C52" s="335" t="s">
        <v>367</v>
      </c>
      <c r="D52" s="336">
        <f t="shared" si="3"/>
        <v>3.5200000000000005</v>
      </c>
      <c r="E52" s="337">
        <f t="shared" ref="E52" si="13">+PRODUCT(F52:I52)</f>
        <v>3.5200000000000005</v>
      </c>
      <c r="F52" s="338">
        <v>1</v>
      </c>
      <c r="G52" s="338">
        <f>+G16-2*H11</f>
        <v>2.2000000000000002</v>
      </c>
      <c r="H52" s="338">
        <f>+H16-2*H11</f>
        <v>1.6</v>
      </c>
      <c r="I52" s="339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</row>
    <row r="53" spans="3:25" s="313" customFormat="1">
      <c r="C53" s="346"/>
      <c r="E53" s="314"/>
      <c r="F53" s="334"/>
      <c r="G53" s="334"/>
      <c r="H53" s="334"/>
      <c r="I53" s="334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</row>
    <row r="54" spans="3:25" s="313" customFormat="1">
      <c r="C54" s="335" t="s">
        <v>368</v>
      </c>
      <c r="D54" s="336">
        <f t="shared" si="3"/>
        <v>1.33</v>
      </c>
      <c r="E54" s="337">
        <f t="shared" ref="E54" si="14">+PRODUCT(F54:I54)</f>
        <v>1.33</v>
      </c>
      <c r="F54" s="338">
        <v>1</v>
      </c>
      <c r="G54" s="338">
        <f>+E13</f>
        <v>1.33</v>
      </c>
      <c r="H54" s="338"/>
      <c r="I54" s="339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</row>
    <row r="55" spans="3:25" s="313" customFormat="1">
      <c r="C55" s="346"/>
      <c r="E55" s="314"/>
      <c r="F55" s="334"/>
      <c r="G55" s="334"/>
      <c r="H55" s="334"/>
      <c r="I55" s="334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</row>
    <row r="56" spans="3:25" s="313" customFormat="1">
      <c r="C56" s="335" t="s">
        <v>369</v>
      </c>
      <c r="D56" s="336">
        <f t="shared" si="3"/>
        <v>1</v>
      </c>
      <c r="E56" s="337">
        <f t="shared" ref="E56" si="15">+PRODUCT(F56:I56)</f>
        <v>1</v>
      </c>
      <c r="F56" s="338">
        <v>1</v>
      </c>
      <c r="G56" s="348">
        <v>1</v>
      </c>
      <c r="H56" s="338"/>
      <c r="I56" s="339"/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</row>
    <row r="57" spans="3:25" s="313" customFormat="1">
      <c r="C57" s="346"/>
      <c r="E57" s="314"/>
      <c r="F57" s="334"/>
      <c r="G57" s="334"/>
      <c r="H57" s="334"/>
      <c r="I57" s="334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</row>
    <row r="58" spans="3:25" s="313" customFormat="1">
      <c r="C58" s="335" t="s">
        <v>370</v>
      </c>
      <c r="D58" s="336">
        <f t="shared" si="3"/>
        <v>1</v>
      </c>
      <c r="E58" s="337">
        <f t="shared" ref="E58" si="16">+PRODUCT(F58:I58)</f>
        <v>1</v>
      </c>
      <c r="F58" s="338">
        <v>1</v>
      </c>
      <c r="G58" s="348">
        <v>1</v>
      </c>
      <c r="H58" s="338"/>
      <c r="I58" s="339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</row>
    <row r="60" spans="3:25" s="375" customFormat="1" ht="21">
      <c r="C60" s="372" t="s">
        <v>383</v>
      </c>
      <c r="D60" s="373"/>
      <c r="E60" s="373"/>
      <c r="F60" s="373"/>
      <c r="G60" s="373"/>
      <c r="H60" s="373"/>
      <c r="I60" s="374"/>
    </row>
    <row r="61" spans="3:25" s="313" customFormat="1">
      <c r="C61" s="316"/>
      <c r="D61" s="314" t="s">
        <v>329</v>
      </c>
      <c r="E61" s="314">
        <v>2.6</v>
      </c>
      <c r="F61" s="314"/>
      <c r="G61" s="314" t="s">
        <v>330</v>
      </c>
      <c r="H61" s="314">
        <v>0.2</v>
      </c>
      <c r="I61" s="315"/>
    </row>
    <row r="62" spans="3:25" s="313" customFormat="1">
      <c r="C62" s="316"/>
      <c r="D62" s="314" t="s">
        <v>331</v>
      </c>
      <c r="E62" s="314">
        <v>2</v>
      </c>
      <c r="F62" s="314"/>
      <c r="G62" s="314" t="s">
        <v>332</v>
      </c>
      <c r="H62" s="314">
        <v>0.2</v>
      </c>
      <c r="I62" s="315"/>
    </row>
    <row r="63" spans="3:25" s="313" customFormat="1">
      <c r="C63" s="316"/>
      <c r="D63" s="314" t="s">
        <v>333</v>
      </c>
      <c r="E63" s="314">
        <v>1.95</v>
      </c>
      <c r="F63" s="314"/>
      <c r="G63" s="314" t="s">
        <v>334</v>
      </c>
      <c r="H63" s="314">
        <v>0.2</v>
      </c>
      <c r="I63" s="315"/>
    </row>
    <row r="64" spans="3:25" s="313" customFormat="1">
      <c r="C64" s="316"/>
      <c r="D64" s="314" t="s">
        <v>335</v>
      </c>
      <c r="E64" s="314">
        <v>1.35</v>
      </c>
      <c r="F64" s="314"/>
      <c r="G64" s="314"/>
      <c r="H64" s="314"/>
      <c r="I64" s="315"/>
    </row>
    <row r="65" spans="3:17" s="313" customFormat="1">
      <c r="C65" s="316"/>
      <c r="I65" s="315"/>
    </row>
    <row r="66" spans="3:17" s="313" customFormat="1">
      <c r="C66" s="312"/>
      <c r="F66" s="313" t="s">
        <v>227</v>
      </c>
      <c r="G66" s="313" t="s">
        <v>336</v>
      </c>
      <c r="H66" s="313" t="s">
        <v>226</v>
      </c>
      <c r="I66" s="313" t="s">
        <v>2</v>
      </c>
    </row>
    <row r="67" spans="3:17">
      <c r="C67" s="317" t="s">
        <v>337</v>
      </c>
      <c r="D67" s="318">
        <f>+E67</f>
        <v>5.2</v>
      </c>
      <c r="E67" s="319">
        <f>+PRODUCT(F67:I67)</f>
        <v>5.2</v>
      </c>
      <c r="F67" s="320">
        <v>1</v>
      </c>
      <c r="G67" s="320">
        <f>+E61</f>
        <v>2.6</v>
      </c>
      <c r="H67" s="320">
        <f>+E62</f>
        <v>2</v>
      </c>
      <c r="I67" s="321"/>
    </row>
    <row r="68" spans="3:17">
      <c r="C68" s="322" t="s">
        <v>338</v>
      </c>
      <c r="D68" s="323">
        <f t="shared" ref="D68" si="17">+E68</f>
        <v>5.2</v>
      </c>
      <c r="E68" s="324">
        <f t="shared" ref="E68:E74" si="18">+PRODUCT(F68:I68)</f>
        <v>5.2</v>
      </c>
      <c r="F68" s="325">
        <f t="shared" ref="F68:H69" si="19">+F67</f>
        <v>1</v>
      </c>
      <c r="G68" s="325">
        <f t="shared" si="19"/>
        <v>2.6</v>
      </c>
      <c r="H68" s="325">
        <f t="shared" si="19"/>
        <v>2</v>
      </c>
      <c r="I68" s="326"/>
    </row>
    <row r="69" spans="3:17">
      <c r="C69" s="322" t="s">
        <v>339</v>
      </c>
      <c r="D69" s="323">
        <f>SUM(E69:E71)</f>
        <v>16.314</v>
      </c>
      <c r="E69" s="324">
        <f t="shared" si="18"/>
        <v>10.14</v>
      </c>
      <c r="F69" s="325">
        <f t="shared" si="19"/>
        <v>1</v>
      </c>
      <c r="G69" s="325">
        <f t="shared" si="19"/>
        <v>2.6</v>
      </c>
      <c r="H69" s="325">
        <f t="shared" si="19"/>
        <v>2</v>
      </c>
      <c r="I69" s="326">
        <f>+E63</f>
        <v>1.95</v>
      </c>
    </row>
    <row r="70" spans="3:17">
      <c r="C70" s="327" t="s">
        <v>340</v>
      </c>
      <c r="D70" s="324"/>
      <c r="E70" s="324">
        <f t="shared" si="18"/>
        <v>6.0839999999999996</v>
      </c>
      <c r="F70" s="325">
        <v>1</v>
      </c>
      <c r="G70" s="325">
        <f>+(G69*2+1.2)+H69*2</f>
        <v>10.4</v>
      </c>
      <c r="H70" s="325">
        <v>0.3</v>
      </c>
      <c r="I70" s="326">
        <f>+I69</f>
        <v>1.95</v>
      </c>
    </row>
    <row r="71" spans="3:17">
      <c r="C71" s="327"/>
      <c r="D71" s="324"/>
      <c r="E71" s="324">
        <f t="shared" si="18"/>
        <v>0.09</v>
      </c>
      <c r="F71" s="325">
        <v>1</v>
      </c>
      <c r="G71" s="325">
        <v>0.3</v>
      </c>
      <c r="H71" s="325">
        <v>0.3</v>
      </c>
      <c r="I71" s="326">
        <v>1</v>
      </c>
    </row>
    <row r="72" spans="3:17">
      <c r="C72" s="322" t="s">
        <v>341</v>
      </c>
      <c r="D72" s="323">
        <f>+E72</f>
        <v>5.2</v>
      </c>
      <c r="E72" s="324">
        <f t="shared" si="18"/>
        <v>5.2</v>
      </c>
      <c r="F72" s="325">
        <f>+F69</f>
        <v>1</v>
      </c>
      <c r="G72" s="325">
        <f>+G69</f>
        <v>2.6</v>
      </c>
      <c r="H72" s="325">
        <f>+H69</f>
        <v>2</v>
      </c>
      <c r="I72" s="326"/>
    </row>
    <row r="73" spans="3:17">
      <c r="C73" s="322" t="s">
        <v>342</v>
      </c>
      <c r="D73" s="323">
        <f t="shared" ref="D73:D74" si="20">+E73</f>
        <v>6.0839999999999996</v>
      </c>
      <c r="E73" s="324">
        <f t="shared" si="18"/>
        <v>6.0839999999999996</v>
      </c>
      <c r="F73" s="325">
        <f>+E70</f>
        <v>6.0839999999999996</v>
      </c>
      <c r="G73" s="325"/>
      <c r="H73" s="325"/>
      <c r="I73" s="326"/>
    </row>
    <row r="74" spans="3:17">
      <c r="C74" s="328" t="s">
        <v>343</v>
      </c>
      <c r="D74" s="329">
        <f t="shared" si="20"/>
        <v>10.23</v>
      </c>
      <c r="E74" s="330">
        <f t="shared" si="18"/>
        <v>10.23</v>
      </c>
      <c r="F74" s="331">
        <f>+D69-D73</f>
        <v>10.23</v>
      </c>
      <c r="G74" s="331"/>
      <c r="H74" s="331"/>
      <c r="I74" s="332"/>
    </row>
    <row r="75" spans="3:17">
      <c r="C75" s="333"/>
      <c r="D75" s="310"/>
      <c r="E75" s="314"/>
      <c r="F75" s="334"/>
      <c r="G75" s="334"/>
      <c r="H75" s="334"/>
      <c r="I75" s="334"/>
    </row>
    <row r="76" spans="3:17">
      <c r="C76" s="335" t="s">
        <v>344</v>
      </c>
      <c r="D76" s="336">
        <f t="shared" ref="D76" si="21">+E76</f>
        <v>6.3E-2</v>
      </c>
      <c r="E76" s="337">
        <f t="shared" ref="E76" si="22">+PRODUCT(F76:I76)</f>
        <v>6.3E-2</v>
      </c>
      <c r="F76" s="338">
        <v>1</v>
      </c>
      <c r="G76" s="338">
        <v>0.3</v>
      </c>
      <c r="H76" s="338">
        <v>0.3</v>
      </c>
      <c r="I76" s="339">
        <v>0.7</v>
      </c>
    </row>
    <row r="77" spans="3:17">
      <c r="C77" s="333"/>
      <c r="D77" s="310"/>
      <c r="E77" s="314"/>
      <c r="F77" s="334"/>
      <c r="G77" s="334"/>
      <c r="H77" s="334"/>
      <c r="I77" s="334"/>
    </row>
    <row r="78" spans="3:17">
      <c r="C78" s="335" t="s">
        <v>345</v>
      </c>
      <c r="D78" s="336">
        <f t="shared" ref="D78" si="23">+E78</f>
        <v>0.52</v>
      </c>
      <c r="E78" s="337">
        <f t="shared" ref="E78" si="24">+PRODUCT(F78:I78)</f>
        <v>0.52</v>
      </c>
      <c r="F78" s="338">
        <f>+F67</f>
        <v>1</v>
      </c>
      <c r="G78" s="338">
        <f>+G67</f>
        <v>2.6</v>
      </c>
      <c r="H78" s="338">
        <f>+H67</f>
        <v>2</v>
      </c>
      <c r="I78" s="339">
        <v>0.1</v>
      </c>
    </row>
    <row r="79" spans="3:17">
      <c r="C79" s="333"/>
      <c r="D79" s="340"/>
      <c r="F79" s="334"/>
      <c r="G79" s="334"/>
      <c r="H79" s="334"/>
      <c r="I79" s="334"/>
      <c r="K79" s="311" t="s">
        <v>346</v>
      </c>
      <c r="L79" s="309" t="s">
        <v>336</v>
      </c>
      <c r="M79" s="312" t="s">
        <v>347</v>
      </c>
      <c r="N79" s="309" t="s">
        <v>227</v>
      </c>
      <c r="O79" s="309" t="s">
        <v>348</v>
      </c>
      <c r="P79" s="309" t="s">
        <v>349</v>
      </c>
      <c r="Q79" s="309" t="s">
        <v>350</v>
      </c>
    </row>
    <row r="80" spans="3:17">
      <c r="C80" s="317" t="s">
        <v>351</v>
      </c>
      <c r="D80" s="341">
        <f t="shared" ref="D80:D82" si="25">+E80</f>
        <v>5.4450000000000005E-2</v>
      </c>
      <c r="E80" s="319">
        <f t="shared" ref="E80:E82" si="26">+PRODUCT(F80:I80)</f>
        <v>5.4450000000000005E-2</v>
      </c>
      <c r="F80" s="320">
        <v>1</v>
      </c>
      <c r="G80" s="342">
        <v>0.55000000000000004</v>
      </c>
      <c r="H80" s="320">
        <v>0.22</v>
      </c>
      <c r="I80" s="321">
        <v>0.45</v>
      </c>
      <c r="K80" s="312" t="s">
        <v>352</v>
      </c>
      <c r="L80" s="312">
        <f>+G80+0.3*2-0.08</f>
        <v>1.0699999999999998</v>
      </c>
      <c r="M80" s="312">
        <v>2</v>
      </c>
      <c r="N80" s="312">
        <f>ROUND((G80-0.08)/0.15+1,0)</f>
        <v>4</v>
      </c>
      <c r="O80" s="343">
        <v>0.375</v>
      </c>
      <c r="P80" s="312">
        <v>0.56000000000000005</v>
      </c>
      <c r="Q80" s="313">
        <f>+L80*M80*N80*P80</f>
        <v>4.7935999999999996</v>
      </c>
    </row>
    <row r="81" spans="3:25">
      <c r="C81" s="322" t="s">
        <v>353</v>
      </c>
      <c r="D81" s="344">
        <f t="shared" si="25"/>
        <v>0.73919999999999997</v>
      </c>
      <c r="E81" s="324">
        <f t="shared" si="26"/>
        <v>0.73919999999999997</v>
      </c>
      <c r="F81" s="325">
        <v>1</v>
      </c>
      <c r="G81" s="325">
        <f>+G80*2+H80*2</f>
        <v>1.54</v>
      </c>
      <c r="H81" s="325"/>
      <c r="I81" s="326">
        <v>0.48</v>
      </c>
    </row>
    <row r="82" spans="3:25">
      <c r="C82" s="328" t="s">
        <v>354</v>
      </c>
      <c r="D82" s="345">
        <f t="shared" si="25"/>
        <v>4.7935999999999996</v>
      </c>
      <c r="E82" s="330">
        <f t="shared" si="26"/>
        <v>4.7935999999999996</v>
      </c>
      <c r="F82" s="331">
        <f>+Q80</f>
        <v>4.7935999999999996</v>
      </c>
      <c r="G82" s="331"/>
      <c r="H82" s="331"/>
      <c r="I82" s="332"/>
    </row>
    <row r="83" spans="3:25">
      <c r="C83" s="333"/>
      <c r="D83" s="310"/>
      <c r="E83" s="314"/>
      <c r="F83" s="334"/>
      <c r="G83" s="334"/>
      <c r="H83" s="334"/>
      <c r="I83" s="334"/>
      <c r="K83" s="311" t="s">
        <v>355</v>
      </c>
      <c r="L83" s="309" t="s">
        <v>336</v>
      </c>
      <c r="M83" s="312" t="s">
        <v>347</v>
      </c>
      <c r="N83" s="309" t="s">
        <v>227</v>
      </c>
      <c r="O83" s="309" t="s">
        <v>348</v>
      </c>
      <c r="P83" s="309" t="s">
        <v>349</v>
      </c>
      <c r="Q83" s="309" t="s">
        <v>350</v>
      </c>
    </row>
    <row r="84" spans="3:25">
      <c r="C84" s="317" t="s">
        <v>356</v>
      </c>
      <c r="D84" s="341">
        <f t="shared" ref="D84:D86" si="27">+E84</f>
        <v>1.04</v>
      </c>
      <c r="E84" s="319">
        <f t="shared" ref="E84:E86" si="28">+PRODUCT(F84:I84)</f>
        <v>1.04</v>
      </c>
      <c r="F84" s="320">
        <v>1</v>
      </c>
      <c r="G84" s="320">
        <f>+E61</f>
        <v>2.6</v>
      </c>
      <c r="H84" s="320">
        <f>+E62</f>
        <v>2</v>
      </c>
      <c r="I84" s="321">
        <f>+H61</f>
        <v>0.2</v>
      </c>
      <c r="K84" s="312" t="s">
        <v>352</v>
      </c>
      <c r="L84" s="312">
        <f>+E61+0.3*2-0.08</f>
        <v>3.12</v>
      </c>
      <c r="M84" s="312">
        <v>2</v>
      </c>
      <c r="N84" s="312">
        <f>ROUND((E62-0.08)/0.25+1,0)</f>
        <v>9</v>
      </c>
      <c r="O84" s="343">
        <v>0.375</v>
      </c>
      <c r="P84" s="312">
        <v>0.56000000000000005</v>
      </c>
      <c r="Q84" s="313">
        <f>+L84*M84*N84*P84</f>
        <v>31.449600000000004</v>
      </c>
    </row>
    <row r="85" spans="3:25">
      <c r="C85" s="322" t="s">
        <v>353</v>
      </c>
      <c r="D85" s="344">
        <f t="shared" si="27"/>
        <v>1.8399999999999999</v>
      </c>
      <c r="E85" s="324">
        <f t="shared" si="28"/>
        <v>1.8399999999999999</v>
      </c>
      <c r="F85" s="325">
        <v>1</v>
      </c>
      <c r="G85" s="325">
        <f>+G84*2+H84*2</f>
        <v>9.1999999999999993</v>
      </c>
      <c r="H85" s="325"/>
      <c r="I85" s="326">
        <f>+I84</f>
        <v>0.2</v>
      </c>
      <c r="K85" s="312" t="s">
        <v>357</v>
      </c>
      <c r="L85" s="312">
        <f>+E62+0.3*2-0.08</f>
        <v>2.52</v>
      </c>
      <c r="M85" s="312">
        <v>2</v>
      </c>
      <c r="N85" s="312">
        <f>ROUND((E61-0.08)/0.25+1,0)</f>
        <v>11</v>
      </c>
      <c r="O85" s="343">
        <v>0.375</v>
      </c>
      <c r="P85" s="312">
        <v>0.56000000000000005</v>
      </c>
      <c r="Q85" s="313">
        <f>+L85*M85*N85*P85</f>
        <v>31.046400000000002</v>
      </c>
    </row>
    <row r="86" spans="3:25">
      <c r="C86" s="328" t="s">
        <v>354</v>
      </c>
      <c r="D86" s="345">
        <f t="shared" si="27"/>
        <v>62.496000000000009</v>
      </c>
      <c r="E86" s="330">
        <f t="shared" si="28"/>
        <v>62.496000000000009</v>
      </c>
      <c r="F86" s="331">
        <f>+Q86</f>
        <v>62.496000000000009</v>
      </c>
      <c r="G86" s="331"/>
      <c r="H86" s="331"/>
      <c r="I86" s="332"/>
      <c r="Q86" s="310">
        <f>SUM(Q84:Q85)</f>
        <v>62.496000000000009</v>
      </c>
    </row>
    <row r="87" spans="3:25">
      <c r="C87" s="333"/>
      <c r="D87" s="310"/>
      <c r="E87" s="314"/>
      <c r="F87" s="334"/>
      <c r="G87" s="334"/>
      <c r="H87" s="334"/>
      <c r="I87" s="334"/>
    </row>
    <row r="88" spans="3:25">
      <c r="C88" s="317" t="s">
        <v>358</v>
      </c>
      <c r="D88" s="341">
        <f t="shared" ref="D88" si="29">+E88</f>
        <v>2.2680000000000002</v>
      </c>
      <c r="E88" s="319">
        <f t="shared" ref="E88:E91" si="30">+PRODUCT(F88:I88)</f>
        <v>2.2680000000000002</v>
      </c>
      <c r="F88" s="320">
        <v>1</v>
      </c>
      <c r="G88" s="320">
        <f>+E61*2+(E62-2*H62)*2</f>
        <v>8.4</v>
      </c>
      <c r="H88" s="320">
        <f>+H62</f>
        <v>0.2</v>
      </c>
      <c r="I88" s="321">
        <f>+E64</f>
        <v>1.35</v>
      </c>
      <c r="K88" s="311" t="s">
        <v>359</v>
      </c>
      <c r="L88" s="309" t="s">
        <v>336</v>
      </c>
      <c r="M88" s="312" t="s">
        <v>360</v>
      </c>
      <c r="N88" s="309" t="s">
        <v>227</v>
      </c>
      <c r="O88" s="309" t="s">
        <v>348</v>
      </c>
      <c r="P88" s="309" t="s">
        <v>349</v>
      </c>
      <c r="Q88" s="309" t="s">
        <v>350</v>
      </c>
      <c r="S88" s="311" t="s">
        <v>361</v>
      </c>
      <c r="T88" s="309" t="s">
        <v>336</v>
      </c>
      <c r="U88" s="312" t="s">
        <v>360</v>
      </c>
      <c r="V88" s="309" t="s">
        <v>227</v>
      </c>
      <c r="W88" s="309" t="s">
        <v>348</v>
      </c>
      <c r="X88" s="309" t="s">
        <v>349</v>
      </c>
      <c r="Y88" s="309" t="s">
        <v>350</v>
      </c>
    </row>
    <row r="89" spans="3:25">
      <c r="C89" s="322" t="s">
        <v>353</v>
      </c>
      <c r="D89" s="344">
        <f>+E89+E90</f>
        <v>22.68</v>
      </c>
      <c r="E89" s="324">
        <f t="shared" si="30"/>
        <v>12.42</v>
      </c>
      <c r="F89" s="325">
        <v>1</v>
      </c>
      <c r="G89" s="325">
        <f>+(E61+E62)*2</f>
        <v>9.1999999999999993</v>
      </c>
      <c r="H89" s="325"/>
      <c r="I89" s="326">
        <f>+I88</f>
        <v>1.35</v>
      </c>
      <c r="K89" s="312" t="s">
        <v>362</v>
      </c>
      <c r="L89" s="312">
        <f>+E61+0.3*2-0.08</f>
        <v>3.12</v>
      </c>
      <c r="M89" s="312">
        <f>2+2</f>
        <v>4</v>
      </c>
      <c r="N89" s="312">
        <f>ROUND((E64-0.08)/0.25+1,0)</f>
        <v>6</v>
      </c>
      <c r="O89" s="343">
        <v>0.375</v>
      </c>
      <c r="P89" s="312">
        <v>0.56000000000000005</v>
      </c>
      <c r="Q89" s="313">
        <f t="shared" ref="Q89:Q90" si="31">+L89*M89*N89*P89</f>
        <v>41.9328</v>
      </c>
      <c r="S89" s="312" t="s">
        <v>362</v>
      </c>
      <c r="T89" s="312">
        <f>+E62+0.3*2-0.08</f>
        <v>2.52</v>
      </c>
      <c r="U89" s="312">
        <f>2+2</f>
        <v>4</v>
      </c>
      <c r="V89" s="312">
        <f>ROUND((E64-0.08)/0.25+1,0)</f>
        <v>6</v>
      </c>
      <c r="W89" s="343">
        <v>0.375</v>
      </c>
      <c r="X89" s="312">
        <v>0.56000000000000005</v>
      </c>
      <c r="Y89" s="313">
        <f t="shared" ref="Y89:Y90" si="32">+T89*U89*V89*X89</f>
        <v>33.868800000000007</v>
      </c>
    </row>
    <row r="90" spans="3:25">
      <c r="C90" s="322"/>
      <c r="D90" s="344"/>
      <c r="E90" s="324">
        <f t="shared" si="30"/>
        <v>10.260000000000002</v>
      </c>
      <c r="F90" s="325">
        <v>1</v>
      </c>
      <c r="G90" s="325">
        <f>+(E61-2*H62)*2+(E62-2*H62)*2</f>
        <v>7.6000000000000005</v>
      </c>
      <c r="H90" s="325"/>
      <c r="I90" s="326">
        <f>+I89</f>
        <v>1.35</v>
      </c>
      <c r="K90" s="312" t="s">
        <v>363</v>
      </c>
      <c r="L90" s="312">
        <f>+E64+0.3*2-0.04+H63+H61</f>
        <v>2.3100000000000005</v>
      </c>
      <c r="M90" s="312">
        <f>2+2</f>
        <v>4</v>
      </c>
      <c r="N90" s="312">
        <f>ROUND((E61-0.08)/0.25+1,0)</f>
        <v>11</v>
      </c>
      <c r="O90" s="343">
        <v>0.375</v>
      </c>
      <c r="P90" s="312">
        <v>0.56000000000000005</v>
      </c>
      <c r="Q90" s="313">
        <f t="shared" si="31"/>
        <v>56.918400000000013</v>
      </c>
      <c r="S90" s="312" t="s">
        <v>363</v>
      </c>
      <c r="T90" s="312">
        <f>+E64+0.3*2-0.04+H63+H61</f>
        <v>2.3100000000000005</v>
      </c>
      <c r="U90" s="312">
        <f>2+2</f>
        <v>4</v>
      </c>
      <c r="V90" s="312">
        <f>ROUND((E62-0.08)/0.25+1,0)</f>
        <v>9</v>
      </c>
      <c r="W90" s="343">
        <v>0.375</v>
      </c>
      <c r="X90" s="312">
        <v>0.56000000000000005</v>
      </c>
      <c r="Y90" s="313">
        <f t="shared" si="32"/>
        <v>46.569600000000015</v>
      </c>
    </row>
    <row r="91" spans="3:25">
      <c r="C91" s="328" t="s">
        <v>354</v>
      </c>
      <c r="D91" s="345">
        <f t="shared" ref="D91" si="33">+E91</f>
        <v>179.28960000000004</v>
      </c>
      <c r="E91" s="330">
        <f t="shared" si="30"/>
        <v>179.28960000000004</v>
      </c>
      <c r="F91" s="331">
        <f>+Q91+Y91</f>
        <v>179.28960000000004</v>
      </c>
      <c r="G91" s="331"/>
      <c r="H91" s="331"/>
      <c r="I91" s="332"/>
      <c r="Q91" s="310">
        <f>SUM(Q89:Q90)</f>
        <v>98.851200000000006</v>
      </c>
      <c r="Y91" s="310">
        <f>SUM(Y89:Y90)</f>
        <v>80.43840000000003</v>
      </c>
    </row>
    <row r="92" spans="3:25">
      <c r="C92" s="346"/>
      <c r="E92" s="314"/>
      <c r="F92" s="334"/>
      <c r="G92" s="334"/>
      <c r="H92" s="334"/>
      <c r="I92" s="334"/>
    </row>
    <row r="93" spans="3:25">
      <c r="C93" s="317" t="s">
        <v>364</v>
      </c>
      <c r="D93" s="341">
        <f>+E93+E94</f>
        <v>0.98345133223538372</v>
      </c>
      <c r="E93" s="319">
        <f t="shared" ref="E93:E99" si="34">+PRODUCT(F93:I93)</f>
        <v>1.04</v>
      </c>
      <c r="F93" s="320">
        <v>1</v>
      </c>
      <c r="G93" s="320">
        <f>+G84</f>
        <v>2.6</v>
      </c>
      <c r="H93" s="320">
        <f>+H84</f>
        <v>2</v>
      </c>
      <c r="I93" s="321">
        <f>+H63</f>
        <v>0.2</v>
      </c>
      <c r="K93" s="311" t="s">
        <v>365</v>
      </c>
      <c r="L93" s="309" t="s">
        <v>336</v>
      </c>
      <c r="M93" s="312" t="s">
        <v>347</v>
      </c>
      <c r="N93" s="309" t="s">
        <v>227</v>
      </c>
      <c r="O93" s="309" t="s">
        <v>348</v>
      </c>
      <c r="P93" s="309" t="s">
        <v>349</v>
      </c>
      <c r="Q93" s="309" t="s">
        <v>350</v>
      </c>
    </row>
    <row r="94" spans="3:25">
      <c r="C94" s="322"/>
      <c r="D94" s="344"/>
      <c r="E94" s="324">
        <f t="shared" si="34"/>
        <v>-5.6548667764616284E-2</v>
      </c>
      <c r="F94" s="325">
        <v>-1</v>
      </c>
      <c r="G94" s="325">
        <f>+PI()*0.3^2</f>
        <v>0.28274333882308139</v>
      </c>
      <c r="H94" s="325"/>
      <c r="I94" s="326">
        <f>+I93</f>
        <v>0.2</v>
      </c>
      <c r="K94" s="312" t="s">
        <v>352</v>
      </c>
      <c r="L94" s="312">
        <f>+E61+0.3*2-0.08</f>
        <v>3.12</v>
      </c>
      <c r="M94" s="312">
        <v>2</v>
      </c>
      <c r="N94" s="312">
        <f>ROUND((E62-0.08)/0.25+1,0)</f>
        <v>9</v>
      </c>
      <c r="O94" s="343">
        <v>0.375</v>
      </c>
      <c r="P94" s="312">
        <v>0.56000000000000005</v>
      </c>
      <c r="Q94" s="313">
        <f>+L94*M94*N94*P94*1.05</f>
        <v>33.022080000000003</v>
      </c>
    </row>
    <row r="95" spans="3:25">
      <c r="C95" s="322" t="s">
        <v>353</v>
      </c>
      <c r="D95" s="344">
        <f>SUM(E95:E98)</f>
        <v>1.7939822368615501</v>
      </c>
      <c r="E95" s="324">
        <f t="shared" si="34"/>
        <v>1.04</v>
      </c>
      <c r="F95" s="325">
        <v>1</v>
      </c>
      <c r="G95" s="325">
        <f>+G93</f>
        <v>2.6</v>
      </c>
      <c r="H95" s="325">
        <f>+H93</f>
        <v>2</v>
      </c>
      <c r="I95" s="326">
        <f>+I93</f>
        <v>0.2</v>
      </c>
      <c r="K95" s="312" t="s">
        <v>357</v>
      </c>
      <c r="L95" s="312">
        <f>+E62+0.3*2-0.08</f>
        <v>2.52</v>
      </c>
      <c r="M95" s="312">
        <v>2</v>
      </c>
      <c r="N95" s="312">
        <f>ROUND((E61-0.08)/0.25+1,0)</f>
        <v>11</v>
      </c>
      <c r="O95" s="343">
        <v>0.375</v>
      </c>
      <c r="P95" s="312">
        <v>0.56000000000000005</v>
      </c>
      <c r="Q95" s="313">
        <f>+L95*M95*N95*P95*1.05</f>
        <v>32.59872</v>
      </c>
    </row>
    <row r="96" spans="3:25">
      <c r="C96" s="322"/>
      <c r="D96" s="344"/>
      <c r="E96" s="324">
        <f t="shared" si="34"/>
        <v>-0.28274333882308139</v>
      </c>
      <c r="F96" s="325">
        <v>-1</v>
      </c>
      <c r="G96" s="325">
        <f>+G94</f>
        <v>0.28274333882308139</v>
      </c>
      <c r="H96" s="325"/>
      <c r="I96" s="326"/>
      <c r="Q96" s="310">
        <f>SUM(Q94:Q95)</f>
        <v>65.620800000000003</v>
      </c>
    </row>
    <row r="97" spans="3:25">
      <c r="C97" s="322"/>
      <c r="D97" s="344"/>
      <c r="E97" s="324">
        <f t="shared" si="34"/>
        <v>0.56548667764616245</v>
      </c>
      <c r="F97" s="325">
        <v>1</v>
      </c>
      <c r="G97" s="325">
        <f>2*PI()*0.3</f>
        <v>1.8849555921538759</v>
      </c>
      <c r="H97" s="325"/>
      <c r="I97" s="326">
        <f>+E63-E64-H61-0.1</f>
        <v>0.29999999999999982</v>
      </c>
    </row>
    <row r="98" spans="3:25">
      <c r="C98" s="322"/>
      <c r="D98" s="344"/>
      <c r="E98" s="324">
        <f t="shared" si="34"/>
        <v>0.47123889803846897</v>
      </c>
      <c r="F98" s="325">
        <v>1</v>
      </c>
      <c r="G98" s="325">
        <f>2*PI()*0.5</f>
        <v>3.1415926535897931</v>
      </c>
      <c r="H98" s="325"/>
      <c r="I98" s="347">
        <v>0.15</v>
      </c>
    </row>
    <row r="99" spans="3:25" s="313" customFormat="1">
      <c r="C99" s="328" t="s">
        <v>354</v>
      </c>
      <c r="D99" s="345">
        <f t="shared" ref="D99" si="35">+E99</f>
        <v>65.620800000000003</v>
      </c>
      <c r="E99" s="330">
        <f t="shared" si="34"/>
        <v>65.620800000000003</v>
      </c>
      <c r="F99" s="331">
        <f>+Q96</f>
        <v>65.620800000000003</v>
      </c>
      <c r="G99" s="331"/>
      <c r="H99" s="331"/>
      <c r="I99" s="332"/>
      <c r="K99" s="312"/>
      <c r="L99" s="312"/>
      <c r="M99" s="312"/>
      <c r="N99" s="312"/>
      <c r="O99" s="312"/>
      <c r="P99" s="312"/>
      <c r="Q99" s="312"/>
      <c r="R99" s="312"/>
      <c r="S99" s="312"/>
      <c r="T99" s="312"/>
      <c r="U99" s="312"/>
      <c r="V99" s="312"/>
      <c r="W99" s="312"/>
      <c r="X99" s="312"/>
      <c r="Y99" s="312"/>
    </row>
    <row r="100" spans="3:25" s="313" customFormat="1">
      <c r="C100" s="346"/>
      <c r="E100" s="314"/>
      <c r="F100" s="334"/>
      <c r="G100" s="334"/>
      <c r="H100" s="334"/>
      <c r="I100" s="334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312"/>
      <c r="Y100" s="312"/>
    </row>
    <row r="101" spans="3:25" s="313" customFormat="1">
      <c r="C101" s="335" t="s">
        <v>366</v>
      </c>
      <c r="D101" s="336">
        <f t="shared" ref="D101" si="36">+E101</f>
        <v>10.260000000000002</v>
      </c>
      <c r="E101" s="337">
        <f t="shared" ref="E101" si="37">+PRODUCT(F101:I101)</f>
        <v>10.260000000000002</v>
      </c>
      <c r="F101" s="338">
        <v>1</v>
      </c>
      <c r="G101" s="338">
        <f>+G90</f>
        <v>7.6000000000000005</v>
      </c>
      <c r="H101" s="338"/>
      <c r="I101" s="339">
        <f>+I88</f>
        <v>1.35</v>
      </c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</row>
    <row r="102" spans="3:25" s="313" customFormat="1">
      <c r="C102" s="346"/>
      <c r="E102" s="314"/>
      <c r="F102" s="334"/>
      <c r="G102" s="334"/>
      <c r="H102" s="334"/>
      <c r="I102" s="334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</row>
    <row r="103" spans="3:25" s="313" customFormat="1">
      <c r="C103" s="335" t="s">
        <v>367</v>
      </c>
      <c r="D103" s="336">
        <f t="shared" ref="D103" si="38">+E103</f>
        <v>3.5200000000000005</v>
      </c>
      <c r="E103" s="337">
        <f t="shared" ref="E103" si="39">+PRODUCT(F103:I103)</f>
        <v>3.5200000000000005</v>
      </c>
      <c r="F103" s="338">
        <v>1</v>
      </c>
      <c r="G103" s="338">
        <f>+G67-2*H62</f>
        <v>2.2000000000000002</v>
      </c>
      <c r="H103" s="338">
        <f>+H67-2*H62</f>
        <v>1.6</v>
      </c>
      <c r="I103" s="339"/>
      <c r="K103" s="312"/>
      <c r="L103" s="312"/>
      <c r="M103" s="312"/>
      <c r="N103" s="312"/>
      <c r="O103" s="312"/>
      <c r="P103" s="312"/>
      <c r="Q103" s="312"/>
      <c r="R103" s="312"/>
      <c r="S103" s="312"/>
      <c r="T103" s="312"/>
      <c r="U103" s="312"/>
      <c r="V103" s="312"/>
      <c r="W103" s="312"/>
      <c r="X103" s="312"/>
      <c r="Y103" s="312"/>
    </row>
    <row r="104" spans="3:25" s="313" customFormat="1">
      <c r="C104" s="346"/>
      <c r="E104" s="314"/>
      <c r="F104" s="334"/>
      <c r="G104" s="334"/>
      <c r="H104" s="334"/>
      <c r="I104" s="334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312"/>
      <c r="Y104" s="312"/>
    </row>
    <row r="105" spans="3:25" s="313" customFormat="1">
      <c r="C105" s="335" t="s">
        <v>368</v>
      </c>
      <c r="D105" s="336">
        <f t="shared" ref="D105" si="40">+E105</f>
        <v>1.35</v>
      </c>
      <c r="E105" s="337">
        <f t="shared" ref="E105" si="41">+PRODUCT(F105:I105)</f>
        <v>1.35</v>
      </c>
      <c r="F105" s="338">
        <v>1</v>
      </c>
      <c r="G105" s="338">
        <f>+E64</f>
        <v>1.35</v>
      </c>
      <c r="H105" s="338"/>
      <c r="I105" s="339"/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312"/>
      <c r="Y105" s="312"/>
    </row>
    <row r="106" spans="3:25" s="313" customFormat="1">
      <c r="C106" s="346"/>
      <c r="E106" s="314"/>
      <c r="F106" s="334"/>
      <c r="G106" s="334"/>
      <c r="H106" s="334"/>
      <c r="I106" s="334"/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312"/>
      <c r="Y106" s="312"/>
    </row>
    <row r="107" spans="3:25" s="313" customFormat="1">
      <c r="C107" s="335" t="s">
        <v>369</v>
      </c>
      <c r="D107" s="336">
        <f t="shared" ref="D107" si="42">+E107</f>
        <v>1</v>
      </c>
      <c r="E107" s="337">
        <f t="shared" ref="E107" si="43">+PRODUCT(F107:I107)</f>
        <v>1</v>
      </c>
      <c r="F107" s="338">
        <v>1</v>
      </c>
      <c r="G107" s="348">
        <v>1</v>
      </c>
      <c r="H107" s="338"/>
      <c r="I107" s="339"/>
      <c r="K107" s="312"/>
      <c r="L107" s="312"/>
      <c r="M107" s="312"/>
      <c r="N107" s="312"/>
      <c r="O107" s="312"/>
      <c r="P107" s="312"/>
      <c r="Q107" s="312"/>
      <c r="R107" s="312"/>
      <c r="S107" s="312"/>
      <c r="T107" s="312"/>
      <c r="U107" s="312"/>
      <c r="V107" s="312"/>
      <c r="W107" s="312"/>
      <c r="X107" s="312"/>
      <c r="Y107" s="312"/>
    </row>
    <row r="108" spans="3:25" s="313" customFormat="1">
      <c r="C108" s="346"/>
      <c r="E108" s="314"/>
      <c r="F108" s="334"/>
      <c r="G108" s="334"/>
      <c r="H108" s="334"/>
      <c r="I108" s="334"/>
      <c r="K108" s="312"/>
      <c r="L108" s="312"/>
      <c r="M108" s="312"/>
      <c r="N108" s="312"/>
      <c r="O108" s="312"/>
      <c r="P108" s="312"/>
      <c r="Q108" s="312"/>
      <c r="R108" s="312"/>
      <c r="S108" s="312"/>
      <c r="T108" s="312"/>
      <c r="U108" s="312"/>
      <c r="V108" s="312"/>
      <c r="W108" s="312"/>
      <c r="X108" s="312"/>
      <c r="Y108" s="312"/>
    </row>
    <row r="109" spans="3:25" s="313" customFormat="1">
      <c r="C109" s="335" t="s">
        <v>370</v>
      </c>
      <c r="D109" s="336">
        <f t="shared" ref="D109" si="44">+E109</f>
        <v>1</v>
      </c>
      <c r="E109" s="337">
        <f t="shared" ref="E109" si="45">+PRODUCT(F109:I109)</f>
        <v>1</v>
      </c>
      <c r="F109" s="338">
        <v>1</v>
      </c>
      <c r="G109" s="348">
        <v>1</v>
      </c>
      <c r="H109" s="338"/>
      <c r="I109" s="339"/>
      <c r="K109" s="312"/>
      <c r="L109" s="312"/>
      <c r="M109" s="312"/>
      <c r="N109" s="312"/>
      <c r="O109" s="312"/>
      <c r="P109" s="312"/>
      <c r="Q109" s="312"/>
      <c r="R109" s="312"/>
      <c r="S109" s="312"/>
      <c r="T109" s="312"/>
      <c r="U109" s="312"/>
      <c r="V109" s="312"/>
      <c r="W109" s="312"/>
      <c r="X109" s="312"/>
      <c r="Y109" s="312"/>
    </row>
    <row r="111" spans="3:25" s="355" customFormat="1" ht="21" hidden="1">
      <c r="C111" s="352" t="s">
        <v>384</v>
      </c>
      <c r="D111" s="353"/>
      <c r="E111" s="353"/>
      <c r="F111" s="353"/>
      <c r="G111" s="353"/>
      <c r="H111" s="353"/>
      <c r="I111" s="354"/>
    </row>
    <row r="112" spans="3:25" s="313" customFormat="1" hidden="1">
      <c r="C112" s="316"/>
      <c r="D112" s="314" t="s">
        <v>329</v>
      </c>
      <c r="E112" s="314">
        <v>2.6</v>
      </c>
      <c r="F112" s="314"/>
      <c r="G112" s="314" t="s">
        <v>330</v>
      </c>
      <c r="H112" s="314">
        <v>0.2</v>
      </c>
      <c r="I112" s="315"/>
    </row>
    <row r="113" spans="3:9" s="313" customFormat="1" hidden="1">
      <c r="C113" s="316"/>
      <c r="D113" s="314" t="s">
        <v>331</v>
      </c>
      <c r="E113" s="314">
        <v>2</v>
      </c>
      <c r="F113" s="314"/>
      <c r="G113" s="314" t="s">
        <v>332</v>
      </c>
      <c r="H113" s="314">
        <v>0.2</v>
      </c>
      <c r="I113" s="315"/>
    </row>
    <row r="114" spans="3:9" s="313" customFormat="1" hidden="1">
      <c r="C114" s="316"/>
      <c r="D114" s="314" t="s">
        <v>333</v>
      </c>
      <c r="E114" s="314">
        <v>3</v>
      </c>
      <c r="F114" s="314"/>
      <c r="G114" s="314" t="s">
        <v>334</v>
      </c>
      <c r="H114" s="314">
        <v>0.2</v>
      </c>
      <c r="I114" s="315"/>
    </row>
    <row r="115" spans="3:9" s="313" customFormat="1" hidden="1">
      <c r="C115" s="316"/>
      <c r="D115" s="314" t="s">
        <v>335</v>
      </c>
      <c r="E115" s="314">
        <v>2.4500000000000002</v>
      </c>
      <c r="F115" s="314"/>
      <c r="G115" s="314"/>
      <c r="H115" s="314"/>
      <c r="I115" s="315"/>
    </row>
    <row r="116" spans="3:9" s="313" customFormat="1" hidden="1">
      <c r="C116" s="316"/>
      <c r="I116" s="315"/>
    </row>
    <row r="117" spans="3:9" s="313" customFormat="1" hidden="1">
      <c r="C117" s="312"/>
      <c r="F117" s="313" t="s">
        <v>227</v>
      </c>
      <c r="G117" s="313" t="s">
        <v>336</v>
      </c>
      <c r="H117" s="313" t="s">
        <v>226</v>
      </c>
      <c r="I117" s="313" t="s">
        <v>2</v>
      </c>
    </row>
    <row r="118" spans="3:9" hidden="1">
      <c r="C118" s="317" t="s">
        <v>337</v>
      </c>
      <c r="D118" s="318">
        <f>+E118</f>
        <v>5.2</v>
      </c>
      <c r="E118" s="319">
        <f>+PRODUCT(F118:I118)</f>
        <v>5.2</v>
      </c>
      <c r="F118" s="320">
        <v>1</v>
      </c>
      <c r="G118" s="320">
        <f>+E112</f>
        <v>2.6</v>
      </c>
      <c r="H118" s="320">
        <f>+E113</f>
        <v>2</v>
      </c>
      <c r="I118" s="321"/>
    </row>
    <row r="119" spans="3:9" hidden="1">
      <c r="C119" s="322" t="s">
        <v>338</v>
      </c>
      <c r="D119" s="323">
        <f t="shared" ref="D119" si="46">+E119</f>
        <v>5.2</v>
      </c>
      <c r="E119" s="324">
        <f t="shared" ref="E119:E125" si="47">+PRODUCT(F119:I119)</f>
        <v>5.2</v>
      </c>
      <c r="F119" s="325">
        <f t="shared" ref="F119:H120" si="48">+F118</f>
        <v>1</v>
      </c>
      <c r="G119" s="325">
        <f t="shared" si="48"/>
        <v>2.6</v>
      </c>
      <c r="H119" s="325">
        <f t="shared" si="48"/>
        <v>2</v>
      </c>
      <c r="I119" s="326"/>
    </row>
    <row r="120" spans="3:9" hidden="1">
      <c r="C120" s="322" t="s">
        <v>339</v>
      </c>
      <c r="D120" s="323">
        <f>SUM(E120:E122)</f>
        <v>18.810000000000002</v>
      </c>
      <c r="E120" s="324">
        <f t="shared" si="47"/>
        <v>15.600000000000001</v>
      </c>
      <c r="F120" s="325">
        <f t="shared" si="48"/>
        <v>1</v>
      </c>
      <c r="G120" s="325">
        <f t="shared" si="48"/>
        <v>2.6</v>
      </c>
      <c r="H120" s="325">
        <f t="shared" si="48"/>
        <v>2</v>
      </c>
      <c r="I120" s="326">
        <f>+E114</f>
        <v>3</v>
      </c>
    </row>
    <row r="121" spans="3:9" hidden="1">
      <c r="C121" s="327" t="s">
        <v>340</v>
      </c>
      <c r="D121" s="324"/>
      <c r="E121" s="324">
        <f t="shared" si="47"/>
        <v>3.12</v>
      </c>
      <c r="F121" s="325">
        <v>1</v>
      </c>
      <c r="G121" s="325">
        <f>+(G120*2+1.2)+H120*2</f>
        <v>10.4</v>
      </c>
      <c r="H121" s="325">
        <v>0.1</v>
      </c>
      <c r="I121" s="326">
        <f>+I120</f>
        <v>3</v>
      </c>
    </row>
    <row r="122" spans="3:9" hidden="1">
      <c r="C122" s="327"/>
      <c r="D122" s="324"/>
      <c r="E122" s="324">
        <f t="shared" si="47"/>
        <v>0.09</v>
      </c>
      <c r="F122" s="325">
        <v>1</v>
      </c>
      <c r="G122" s="325">
        <v>0.3</v>
      </c>
      <c r="H122" s="325">
        <v>0.3</v>
      </c>
      <c r="I122" s="326">
        <v>1</v>
      </c>
    </row>
    <row r="123" spans="3:9" hidden="1">
      <c r="C123" s="322" t="s">
        <v>341</v>
      </c>
      <c r="D123" s="323">
        <f>+E123</f>
        <v>5.2</v>
      </c>
      <c r="E123" s="324">
        <f t="shared" si="47"/>
        <v>5.2</v>
      </c>
      <c r="F123" s="325">
        <f>+F120</f>
        <v>1</v>
      </c>
      <c r="G123" s="325">
        <f>+G120</f>
        <v>2.6</v>
      </c>
      <c r="H123" s="325">
        <f>+H120</f>
        <v>2</v>
      </c>
      <c r="I123" s="326"/>
    </row>
    <row r="124" spans="3:9" hidden="1">
      <c r="C124" s="322" t="s">
        <v>342</v>
      </c>
      <c r="D124" s="323">
        <f t="shared" ref="D124:D125" si="49">+E124</f>
        <v>3.12</v>
      </c>
      <c r="E124" s="324">
        <f t="shared" si="47"/>
        <v>3.12</v>
      </c>
      <c r="F124" s="325">
        <f>+E121</f>
        <v>3.12</v>
      </c>
      <c r="G124" s="325"/>
      <c r="H124" s="325"/>
      <c r="I124" s="326"/>
    </row>
    <row r="125" spans="3:9" hidden="1">
      <c r="C125" s="328" t="s">
        <v>343</v>
      </c>
      <c r="D125" s="329">
        <f t="shared" si="49"/>
        <v>15.690000000000001</v>
      </c>
      <c r="E125" s="330">
        <f t="shared" si="47"/>
        <v>15.690000000000001</v>
      </c>
      <c r="F125" s="331">
        <f>+D120-D124</f>
        <v>15.690000000000001</v>
      </c>
      <c r="G125" s="331"/>
      <c r="H125" s="331"/>
      <c r="I125" s="332"/>
    </row>
    <row r="126" spans="3:9" hidden="1">
      <c r="C126" s="333"/>
      <c r="D126" s="310"/>
      <c r="E126" s="314"/>
      <c r="F126" s="334"/>
      <c r="G126" s="334"/>
      <c r="H126" s="334"/>
      <c r="I126" s="334"/>
    </row>
    <row r="127" spans="3:9" hidden="1">
      <c r="C127" s="335" t="s">
        <v>344</v>
      </c>
      <c r="D127" s="336">
        <f t="shared" ref="D127" si="50">+E127</f>
        <v>6.3E-2</v>
      </c>
      <c r="E127" s="337">
        <f t="shared" ref="E127" si="51">+PRODUCT(F127:I127)</f>
        <v>6.3E-2</v>
      </c>
      <c r="F127" s="338">
        <v>1</v>
      </c>
      <c r="G127" s="338">
        <v>0.3</v>
      </c>
      <c r="H127" s="338">
        <v>0.3</v>
      </c>
      <c r="I127" s="339">
        <v>0.7</v>
      </c>
    </row>
    <row r="128" spans="3:9" hidden="1">
      <c r="C128" s="333"/>
      <c r="D128" s="310"/>
      <c r="E128" s="314"/>
      <c r="F128" s="334"/>
      <c r="G128" s="334"/>
      <c r="H128" s="334"/>
      <c r="I128" s="334"/>
    </row>
    <row r="129" spans="3:25" hidden="1">
      <c r="C129" s="335" t="s">
        <v>345</v>
      </c>
      <c r="D129" s="336">
        <f t="shared" ref="D129" si="52">+E129</f>
        <v>0.52</v>
      </c>
      <c r="E129" s="337">
        <f t="shared" ref="E129" si="53">+PRODUCT(F129:I129)</f>
        <v>0.52</v>
      </c>
      <c r="F129" s="338">
        <f>+F118</f>
        <v>1</v>
      </c>
      <c r="G129" s="338">
        <f>+G118</f>
        <v>2.6</v>
      </c>
      <c r="H129" s="338">
        <f>+H118</f>
        <v>2</v>
      </c>
      <c r="I129" s="339">
        <v>0.1</v>
      </c>
    </row>
    <row r="130" spans="3:25" hidden="1">
      <c r="C130" s="333"/>
      <c r="D130" s="340"/>
      <c r="F130" s="334"/>
      <c r="G130" s="334"/>
      <c r="H130" s="334"/>
      <c r="I130" s="334"/>
      <c r="K130" s="311" t="s">
        <v>346</v>
      </c>
      <c r="L130" s="309" t="s">
        <v>336</v>
      </c>
      <c r="M130" s="312" t="s">
        <v>347</v>
      </c>
      <c r="N130" s="309" t="s">
        <v>227</v>
      </c>
      <c r="O130" s="309" t="s">
        <v>348</v>
      </c>
      <c r="P130" s="309" t="s">
        <v>349</v>
      </c>
      <c r="Q130" s="309" t="s">
        <v>350</v>
      </c>
    </row>
    <row r="131" spans="3:25" hidden="1">
      <c r="C131" s="317" t="s">
        <v>351</v>
      </c>
      <c r="D131" s="341">
        <f t="shared" ref="D131:D133" si="54">+E131</f>
        <v>5.4450000000000005E-2</v>
      </c>
      <c r="E131" s="319">
        <f t="shared" ref="E131:E133" si="55">+PRODUCT(F131:I131)</f>
        <v>5.4450000000000005E-2</v>
      </c>
      <c r="F131" s="320">
        <v>1</v>
      </c>
      <c r="G131" s="342">
        <v>0.55000000000000004</v>
      </c>
      <c r="H131" s="320">
        <v>0.22</v>
      </c>
      <c r="I131" s="321">
        <v>0.45</v>
      </c>
      <c r="K131" s="312" t="s">
        <v>352</v>
      </c>
      <c r="L131" s="312">
        <f>+G131+0.3*2-0.08</f>
        <v>1.0699999999999998</v>
      </c>
      <c r="M131" s="312">
        <v>2</v>
      </c>
      <c r="N131" s="312">
        <f>ROUND((G131-0.08)/0.15+1,0)</f>
        <v>4</v>
      </c>
      <c r="O131" s="343">
        <v>0.375</v>
      </c>
      <c r="P131" s="312">
        <v>0.56000000000000005</v>
      </c>
      <c r="Q131" s="313">
        <f>+L131*M131*N131*P131</f>
        <v>4.7935999999999996</v>
      </c>
    </row>
    <row r="132" spans="3:25" hidden="1">
      <c r="C132" s="322" t="s">
        <v>353</v>
      </c>
      <c r="D132" s="344">
        <f t="shared" si="54"/>
        <v>0.73919999999999997</v>
      </c>
      <c r="E132" s="324">
        <f t="shared" si="55"/>
        <v>0.73919999999999997</v>
      </c>
      <c r="F132" s="325">
        <v>1</v>
      </c>
      <c r="G132" s="325">
        <f>+G131*2+H131*2</f>
        <v>1.54</v>
      </c>
      <c r="H132" s="325"/>
      <c r="I132" s="326">
        <v>0.48</v>
      </c>
    </row>
    <row r="133" spans="3:25" hidden="1">
      <c r="C133" s="328" t="s">
        <v>354</v>
      </c>
      <c r="D133" s="345">
        <f t="shared" si="54"/>
        <v>4.7935999999999996</v>
      </c>
      <c r="E133" s="330">
        <f t="shared" si="55"/>
        <v>4.7935999999999996</v>
      </c>
      <c r="F133" s="331">
        <f>+Q131</f>
        <v>4.7935999999999996</v>
      </c>
      <c r="G133" s="331"/>
      <c r="H133" s="331"/>
      <c r="I133" s="332"/>
    </row>
    <row r="134" spans="3:25" hidden="1">
      <c r="C134" s="333"/>
      <c r="D134" s="310"/>
      <c r="E134" s="314"/>
      <c r="F134" s="334"/>
      <c r="G134" s="334"/>
      <c r="H134" s="334"/>
      <c r="I134" s="334"/>
      <c r="K134" s="311" t="s">
        <v>355</v>
      </c>
      <c r="L134" s="309" t="s">
        <v>336</v>
      </c>
      <c r="M134" s="312" t="s">
        <v>347</v>
      </c>
      <c r="N134" s="309" t="s">
        <v>227</v>
      </c>
      <c r="O134" s="309" t="s">
        <v>348</v>
      </c>
      <c r="P134" s="309" t="s">
        <v>349</v>
      </c>
      <c r="Q134" s="309" t="s">
        <v>350</v>
      </c>
    </row>
    <row r="135" spans="3:25" hidden="1">
      <c r="C135" s="317" t="s">
        <v>356</v>
      </c>
      <c r="D135" s="341">
        <f t="shared" ref="D135:D137" si="56">+E135</f>
        <v>1.04</v>
      </c>
      <c r="E135" s="319">
        <f t="shared" ref="E135:E137" si="57">+PRODUCT(F135:I135)</f>
        <v>1.04</v>
      </c>
      <c r="F135" s="320">
        <v>1</v>
      </c>
      <c r="G135" s="320">
        <f>+E112</f>
        <v>2.6</v>
      </c>
      <c r="H135" s="320">
        <f>+E113</f>
        <v>2</v>
      </c>
      <c r="I135" s="321">
        <f>+H112</f>
        <v>0.2</v>
      </c>
      <c r="K135" s="312" t="s">
        <v>352</v>
      </c>
      <c r="L135" s="312">
        <f>+E112+0.3*2-0.08</f>
        <v>3.12</v>
      </c>
      <c r="M135" s="312">
        <v>2</v>
      </c>
      <c r="N135" s="312">
        <f>ROUND((E113-0.08)/0.25+1,0)</f>
        <v>9</v>
      </c>
      <c r="O135" s="343">
        <v>0.375</v>
      </c>
      <c r="P135" s="312">
        <v>0.56000000000000005</v>
      </c>
      <c r="Q135" s="313">
        <f>+L135*M135*N135*P135</f>
        <v>31.449600000000004</v>
      </c>
    </row>
    <row r="136" spans="3:25" hidden="1">
      <c r="C136" s="322" t="s">
        <v>353</v>
      </c>
      <c r="D136" s="344">
        <f t="shared" si="56"/>
        <v>1.8399999999999999</v>
      </c>
      <c r="E136" s="324">
        <f t="shared" si="57"/>
        <v>1.8399999999999999</v>
      </c>
      <c r="F136" s="325">
        <v>1</v>
      </c>
      <c r="G136" s="325">
        <f>+G135*2+H135*2</f>
        <v>9.1999999999999993</v>
      </c>
      <c r="H136" s="325"/>
      <c r="I136" s="326">
        <f>+I135</f>
        <v>0.2</v>
      </c>
      <c r="K136" s="312" t="s">
        <v>357</v>
      </c>
      <c r="L136" s="312">
        <f>+E113+0.3*2-0.08</f>
        <v>2.52</v>
      </c>
      <c r="M136" s="312">
        <v>2</v>
      </c>
      <c r="N136" s="312">
        <f>ROUND((E112-0.08)/0.25+1,0)</f>
        <v>11</v>
      </c>
      <c r="O136" s="343">
        <v>0.375</v>
      </c>
      <c r="P136" s="312">
        <v>0.56000000000000005</v>
      </c>
      <c r="Q136" s="313">
        <f>+L136*M136*N136*P136</f>
        <v>31.046400000000002</v>
      </c>
    </row>
    <row r="137" spans="3:25" hidden="1">
      <c r="C137" s="328" t="s">
        <v>354</v>
      </c>
      <c r="D137" s="345">
        <f t="shared" si="56"/>
        <v>62.496000000000009</v>
      </c>
      <c r="E137" s="330">
        <f t="shared" si="57"/>
        <v>62.496000000000009</v>
      </c>
      <c r="F137" s="331">
        <f>+Q137</f>
        <v>62.496000000000009</v>
      </c>
      <c r="G137" s="331"/>
      <c r="H137" s="331"/>
      <c r="I137" s="332"/>
      <c r="Q137" s="310">
        <f>SUM(Q135:Q136)</f>
        <v>62.496000000000009</v>
      </c>
    </row>
    <row r="138" spans="3:25" hidden="1">
      <c r="C138" s="333"/>
      <c r="D138" s="310"/>
      <c r="E138" s="314"/>
      <c r="F138" s="334"/>
      <c r="G138" s="334"/>
      <c r="H138" s="334"/>
      <c r="I138" s="334"/>
    </row>
    <row r="139" spans="3:25" hidden="1">
      <c r="C139" s="317" t="s">
        <v>358</v>
      </c>
      <c r="D139" s="341">
        <f t="shared" ref="D139" si="58">+E139</f>
        <v>4.1160000000000005</v>
      </c>
      <c r="E139" s="319">
        <f t="shared" ref="E139:E142" si="59">+PRODUCT(F139:I139)</f>
        <v>4.1160000000000005</v>
      </c>
      <c r="F139" s="320">
        <v>1</v>
      </c>
      <c r="G139" s="320">
        <f>+E112*2+(E113-2*H113)*2</f>
        <v>8.4</v>
      </c>
      <c r="H139" s="320">
        <f>+H113</f>
        <v>0.2</v>
      </c>
      <c r="I139" s="321">
        <f>+E115</f>
        <v>2.4500000000000002</v>
      </c>
      <c r="K139" s="311" t="s">
        <v>359</v>
      </c>
      <c r="L139" s="309" t="s">
        <v>336</v>
      </c>
      <c r="M139" s="312" t="s">
        <v>360</v>
      </c>
      <c r="N139" s="309" t="s">
        <v>227</v>
      </c>
      <c r="O139" s="309" t="s">
        <v>348</v>
      </c>
      <c r="P139" s="309" t="s">
        <v>349</v>
      </c>
      <c r="Q139" s="309" t="s">
        <v>350</v>
      </c>
      <c r="S139" s="311" t="s">
        <v>361</v>
      </c>
      <c r="T139" s="309" t="s">
        <v>336</v>
      </c>
      <c r="U139" s="312" t="s">
        <v>360</v>
      </c>
      <c r="V139" s="309" t="s">
        <v>227</v>
      </c>
      <c r="W139" s="309" t="s">
        <v>348</v>
      </c>
      <c r="X139" s="309" t="s">
        <v>349</v>
      </c>
      <c r="Y139" s="309" t="s">
        <v>350</v>
      </c>
    </row>
    <row r="140" spans="3:25" hidden="1">
      <c r="C140" s="322" t="s">
        <v>353</v>
      </c>
      <c r="D140" s="344">
        <f>+E140+E141</f>
        <v>41.16</v>
      </c>
      <c r="E140" s="324">
        <f t="shared" si="59"/>
        <v>22.54</v>
      </c>
      <c r="F140" s="325">
        <v>1</v>
      </c>
      <c r="G140" s="325">
        <f>+(E112+E113)*2</f>
        <v>9.1999999999999993</v>
      </c>
      <c r="H140" s="325"/>
      <c r="I140" s="326">
        <f>+I139</f>
        <v>2.4500000000000002</v>
      </c>
      <c r="K140" s="312" t="s">
        <v>362</v>
      </c>
      <c r="L140" s="312">
        <f>+E112+0.3*2-0.08</f>
        <v>3.12</v>
      </c>
      <c r="M140" s="312">
        <f>2+2</f>
        <v>4</v>
      </c>
      <c r="N140" s="312">
        <f>ROUND((E115-0.08)/0.25+1,0)</f>
        <v>10</v>
      </c>
      <c r="O140" s="343">
        <v>0.375</v>
      </c>
      <c r="P140" s="312">
        <v>0.56000000000000005</v>
      </c>
      <c r="Q140" s="313">
        <f t="shared" ref="Q140:Q141" si="60">+L140*M140*N140*P140</f>
        <v>69.888000000000019</v>
      </c>
      <c r="S140" s="312" t="s">
        <v>362</v>
      </c>
      <c r="T140" s="312">
        <f>+E113+0.3*2-0.08</f>
        <v>2.52</v>
      </c>
      <c r="U140" s="312">
        <f>2+2</f>
        <v>4</v>
      </c>
      <c r="V140" s="312">
        <f>ROUND((E115-0.08)/0.25+1,0)</f>
        <v>10</v>
      </c>
      <c r="W140" s="343">
        <v>0.375</v>
      </c>
      <c r="X140" s="312">
        <v>0.56000000000000005</v>
      </c>
      <c r="Y140" s="313">
        <f t="shared" ref="Y140:Y141" si="61">+T140*U140*V140*X140</f>
        <v>56.448</v>
      </c>
    </row>
    <row r="141" spans="3:25" hidden="1">
      <c r="C141" s="322"/>
      <c r="D141" s="344"/>
      <c r="E141" s="324">
        <f t="shared" si="59"/>
        <v>18.62</v>
      </c>
      <c r="F141" s="325">
        <v>1</v>
      </c>
      <c r="G141" s="325">
        <f>+(E112-2*H113)*2+(E113-2*H113)*2</f>
        <v>7.6000000000000005</v>
      </c>
      <c r="H141" s="325"/>
      <c r="I141" s="326">
        <f>+I140</f>
        <v>2.4500000000000002</v>
      </c>
      <c r="K141" s="312" t="s">
        <v>363</v>
      </c>
      <c r="L141" s="312">
        <f>+E115+0.3*2-0.04+H114+H112</f>
        <v>3.4100000000000006</v>
      </c>
      <c r="M141" s="312">
        <f>2+2</f>
        <v>4</v>
      </c>
      <c r="N141" s="312">
        <f>ROUND((E112-0.08)/0.25+1,0)</f>
        <v>11</v>
      </c>
      <c r="O141" s="343">
        <v>0.375</v>
      </c>
      <c r="P141" s="312">
        <v>0.56000000000000005</v>
      </c>
      <c r="Q141" s="313">
        <f t="shared" si="60"/>
        <v>84.022400000000019</v>
      </c>
      <c r="S141" s="312" t="s">
        <v>363</v>
      </c>
      <c r="T141" s="312">
        <f>+E115+0.3*2-0.04+H114+H112</f>
        <v>3.4100000000000006</v>
      </c>
      <c r="U141" s="312">
        <f>2+2</f>
        <v>4</v>
      </c>
      <c r="V141" s="312">
        <f>ROUND((E113-0.08)/0.25+1,0)</f>
        <v>9</v>
      </c>
      <c r="W141" s="343">
        <v>0.375</v>
      </c>
      <c r="X141" s="312">
        <v>0.56000000000000005</v>
      </c>
      <c r="Y141" s="313">
        <f t="shared" si="61"/>
        <v>68.745600000000024</v>
      </c>
    </row>
    <row r="142" spans="3:25" hidden="1">
      <c r="C142" s="328" t="s">
        <v>354</v>
      </c>
      <c r="D142" s="345">
        <f t="shared" ref="D142" si="62">+E142</f>
        <v>279.10400000000004</v>
      </c>
      <c r="E142" s="330">
        <f t="shared" si="59"/>
        <v>279.10400000000004</v>
      </c>
      <c r="F142" s="331">
        <f>+Q142+Y142</f>
        <v>279.10400000000004</v>
      </c>
      <c r="G142" s="331"/>
      <c r="H142" s="331"/>
      <c r="I142" s="332"/>
      <c r="Q142" s="310">
        <f>SUM(Q140:Q141)</f>
        <v>153.91040000000004</v>
      </c>
      <c r="Y142" s="310">
        <f>SUM(Y140:Y141)</f>
        <v>125.19360000000003</v>
      </c>
    </row>
    <row r="143" spans="3:25" hidden="1">
      <c r="C143" s="346"/>
      <c r="E143" s="314"/>
      <c r="F143" s="334"/>
      <c r="G143" s="334"/>
      <c r="H143" s="334"/>
      <c r="I143" s="334"/>
    </row>
    <row r="144" spans="3:25" hidden="1">
      <c r="C144" s="317" t="s">
        <v>364</v>
      </c>
      <c r="D144" s="341">
        <f>+E144+E145</f>
        <v>0.98345133223538372</v>
      </c>
      <c r="E144" s="319">
        <f t="shared" ref="E144:E150" si="63">+PRODUCT(F144:I144)</f>
        <v>1.04</v>
      </c>
      <c r="F144" s="320">
        <v>1</v>
      </c>
      <c r="G144" s="320">
        <f>+G135</f>
        <v>2.6</v>
      </c>
      <c r="H144" s="320">
        <f>+H135</f>
        <v>2</v>
      </c>
      <c r="I144" s="321">
        <f>+H114</f>
        <v>0.2</v>
      </c>
      <c r="K144" s="311" t="s">
        <v>365</v>
      </c>
      <c r="L144" s="309" t="s">
        <v>336</v>
      </c>
      <c r="M144" s="312" t="s">
        <v>347</v>
      </c>
      <c r="N144" s="309" t="s">
        <v>227</v>
      </c>
      <c r="O144" s="309" t="s">
        <v>348</v>
      </c>
      <c r="P144" s="309" t="s">
        <v>349</v>
      </c>
      <c r="Q144" s="309" t="s">
        <v>350</v>
      </c>
    </row>
    <row r="145" spans="3:25" hidden="1">
      <c r="C145" s="322"/>
      <c r="D145" s="344"/>
      <c r="E145" s="324">
        <f t="shared" si="63"/>
        <v>-5.6548667764616284E-2</v>
      </c>
      <c r="F145" s="325">
        <v>-1</v>
      </c>
      <c r="G145" s="325">
        <f>+PI()*0.3^2</f>
        <v>0.28274333882308139</v>
      </c>
      <c r="H145" s="325"/>
      <c r="I145" s="326">
        <f>+I144</f>
        <v>0.2</v>
      </c>
      <c r="K145" s="312" t="s">
        <v>352</v>
      </c>
      <c r="L145" s="312">
        <f>+E112+0.3*2-0.08</f>
        <v>3.12</v>
      </c>
      <c r="M145" s="312">
        <v>2</v>
      </c>
      <c r="N145" s="312">
        <f>ROUND((E113-0.08)/0.25+1,0)</f>
        <v>9</v>
      </c>
      <c r="O145" s="343">
        <v>0.375</v>
      </c>
      <c r="P145" s="312">
        <v>0.56000000000000005</v>
      </c>
      <c r="Q145" s="313">
        <f>+L145*M145*N145*P145*1.05</f>
        <v>33.022080000000003</v>
      </c>
    </row>
    <row r="146" spans="3:25" hidden="1">
      <c r="C146" s="322" t="s">
        <v>353</v>
      </c>
      <c r="D146" s="344">
        <f>SUM(E146:E149)</f>
        <v>1.6997344572538562</v>
      </c>
      <c r="E146" s="324">
        <f t="shared" si="63"/>
        <v>1.04</v>
      </c>
      <c r="F146" s="325">
        <v>1</v>
      </c>
      <c r="G146" s="325">
        <f>+G144</f>
        <v>2.6</v>
      </c>
      <c r="H146" s="325">
        <f>+H144</f>
        <v>2</v>
      </c>
      <c r="I146" s="326">
        <f>+I144</f>
        <v>0.2</v>
      </c>
      <c r="K146" s="312" t="s">
        <v>357</v>
      </c>
      <c r="L146" s="312">
        <f>+E113+0.3*2-0.08</f>
        <v>2.52</v>
      </c>
      <c r="M146" s="312">
        <v>2</v>
      </c>
      <c r="N146" s="312">
        <f>ROUND((E112-0.08)/0.25+1,0)</f>
        <v>11</v>
      </c>
      <c r="O146" s="343">
        <v>0.375</v>
      </c>
      <c r="P146" s="312">
        <v>0.56000000000000005</v>
      </c>
      <c r="Q146" s="313">
        <f>+L146*M146*N146*P146*1.05</f>
        <v>32.59872</v>
      </c>
    </row>
    <row r="147" spans="3:25" hidden="1">
      <c r="C147" s="322"/>
      <c r="D147" s="344"/>
      <c r="E147" s="324">
        <f t="shared" si="63"/>
        <v>-0.28274333882308139</v>
      </c>
      <c r="F147" s="325">
        <v>-1</v>
      </c>
      <c r="G147" s="325">
        <f>+G145</f>
        <v>0.28274333882308139</v>
      </c>
      <c r="H147" s="325"/>
      <c r="I147" s="326"/>
      <c r="Q147" s="310">
        <f>SUM(Q145:Q146)</f>
        <v>65.620800000000003</v>
      </c>
    </row>
    <row r="148" spans="3:25" hidden="1">
      <c r="C148" s="322"/>
      <c r="D148" s="344"/>
      <c r="E148" s="324">
        <f t="shared" si="63"/>
        <v>0.47123889803846858</v>
      </c>
      <c r="F148" s="325">
        <v>1</v>
      </c>
      <c r="G148" s="325">
        <f>2*PI()*0.3</f>
        <v>1.8849555921538759</v>
      </c>
      <c r="H148" s="325"/>
      <c r="I148" s="326">
        <f>+E114-E115-H112-0.1</f>
        <v>0.24999999999999981</v>
      </c>
    </row>
    <row r="149" spans="3:25" hidden="1">
      <c r="C149" s="322"/>
      <c r="D149" s="344"/>
      <c r="E149" s="324">
        <f t="shared" si="63"/>
        <v>0.47123889803846897</v>
      </c>
      <c r="F149" s="325">
        <v>1</v>
      </c>
      <c r="G149" s="325">
        <f>2*PI()*0.5</f>
        <v>3.1415926535897931</v>
      </c>
      <c r="H149" s="325"/>
      <c r="I149" s="347">
        <v>0.15</v>
      </c>
    </row>
    <row r="150" spans="3:25" s="313" customFormat="1" hidden="1">
      <c r="C150" s="328" t="s">
        <v>354</v>
      </c>
      <c r="D150" s="345">
        <f t="shared" ref="D150" si="64">+E150</f>
        <v>65.620800000000003</v>
      </c>
      <c r="E150" s="330">
        <f t="shared" si="63"/>
        <v>65.620800000000003</v>
      </c>
      <c r="F150" s="331">
        <f>+Q147</f>
        <v>65.620800000000003</v>
      </c>
      <c r="G150" s="331"/>
      <c r="H150" s="331"/>
      <c r="I150" s="332"/>
      <c r="K150" s="312"/>
      <c r="L150" s="312"/>
      <c r="M150" s="312"/>
      <c r="N150" s="312"/>
      <c r="O150" s="312"/>
      <c r="P150" s="312"/>
      <c r="Q150" s="312"/>
      <c r="R150" s="312"/>
      <c r="S150" s="312"/>
      <c r="T150" s="312"/>
      <c r="U150" s="312"/>
      <c r="V150" s="312"/>
      <c r="W150" s="312"/>
      <c r="X150" s="312"/>
      <c r="Y150" s="312"/>
    </row>
    <row r="151" spans="3:25" s="313" customFormat="1" hidden="1">
      <c r="C151" s="346"/>
      <c r="E151" s="314"/>
      <c r="F151" s="334"/>
      <c r="G151" s="334"/>
      <c r="H151" s="334"/>
      <c r="I151" s="334"/>
      <c r="K151" s="312"/>
      <c r="L151" s="312"/>
      <c r="M151" s="312"/>
      <c r="N151" s="312"/>
      <c r="O151" s="312"/>
      <c r="P151" s="312"/>
      <c r="Q151" s="312"/>
      <c r="R151" s="312"/>
      <c r="S151" s="312"/>
      <c r="T151" s="312"/>
      <c r="U151" s="312"/>
      <c r="V151" s="312"/>
      <c r="W151" s="312"/>
      <c r="X151" s="312"/>
      <c r="Y151" s="312"/>
    </row>
    <row r="152" spans="3:25" s="313" customFormat="1" hidden="1">
      <c r="C152" s="335" t="s">
        <v>366</v>
      </c>
      <c r="D152" s="336">
        <f t="shared" ref="D152" si="65">+E152</f>
        <v>18.62</v>
      </c>
      <c r="E152" s="337">
        <f t="shared" ref="E152" si="66">+PRODUCT(F152:I152)</f>
        <v>18.62</v>
      </c>
      <c r="F152" s="338">
        <v>1</v>
      </c>
      <c r="G152" s="338">
        <f>+G141</f>
        <v>7.6000000000000005</v>
      </c>
      <c r="H152" s="338"/>
      <c r="I152" s="339">
        <f>+I139</f>
        <v>2.4500000000000002</v>
      </c>
      <c r="K152" s="312"/>
      <c r="L152" s="312"/>
      <c r="M152" s="312"/>
      <c r="N152" s="312"/>
      <c r="O152" s="312"/>
      <c r="P152" s="312"/>
      <c r="Q152" s="312"/>
      <c r="R152" s="312"/>
      <c r="S152" s="312"/>
      <c r="T152" s="312"/>
      <c r="U152" s="312"/>
      <c r="V152" s="312"/>
      <c r="W152" s="312"/>
      <c r="X152" s="312"/>
      <c r="Y152" s="312"/>
    </row>
    <row r="153" spans="3:25" s="313" customFormat="1" hidden="1">
      <c r="C153" s="346"/>
      <c r="E153" s="314"/>
      <c r="F153" s="334"/>
      <c r="G153" s="334"/>
      <c r="H153" s="334"/>
      <c r="I153" s="334"/>
      <c r="K153" s="312"/>
      <c r="L153" s="312"/>
      <c r="M153" s="312"/>
      <c r="N153" s="312"/>
      <c r="O153" s="312"/>
      <c r="P153" s="312"/>
      <c r="Q153" s="312"/>
      <c r="R153" s="312"/>
      <c r="S153" s="312"/>
      <c r="T153" s="312"/>
      <c r="U153" s="312"/>
      <c r="V153" s="312"/>
      <c r="W153" s="312"/>
      <c r="X153" s="312"/>
      <c r="Y153" s="312"/>
    </row>
    <row r="154" spans="3:25" s="313" customFormat="1" hidden="1">
      <c r="C154" s="335" t="s">
        <v>367</v>
      </c>
      <c r="D154" s="336">
        <f t="shared" ref="D154" si="67">+E154</f>
        <v>3.5200000000000005</v>
      </c>
      <c r="E154" s="337">
        <f t="shared" ref="E154" si="68">+PRODUCT(F154:I154)</f>
        <v>3.5200000000000005</v>
      </c>
      <c r="F154" s="338">
        <v>1</v>
      </c>
      <c r="G154" s="338">
        <f>+G118-2*H113</f>
        <v>2.2000000000000002</v>
      </c>
      <c r="H154" s="338">
        <f>+H118-2*H113</f>
        <v>1.6</v>
      </c>
      <c r="I154" s="339"/>
      <c r="K154" s="312"/>
      <c r="L154" s="312"/>
      <c r="M154" s="312"/>
      <c r="N154" s="312"/>
      <c r="O154" s="312"/>
      <c r="P154" s="312"/>
      <c r="Q154" s="312"/>
      <c r="R154" s="312"/>
      <c r="S154" s="312"/>
      <c r="T154" s="312"/>
      <c r="U154" s="312"/>
      <c r="V154" s="312"/>
      <c r="W154" s="312"/>
      <c r="X154" s="312"/>
      <c r="Y154" s="312"/>
    </row>
    <row r="155" spans="3:25" s="313" customFormat="1" hidden="1">
      <c r="C155" s="346"/>
      <c r="E155" s="314"/>
      <c r="F155" s="334"/>
      <c r="G155" s="334"/>
      <c r="H155" s="334"/>
      <c r="I155" s="334"/>
      <c r="K155" s="312"/>
      <c r="L155" s="312"/>
      <c r="M155" s="312"/>
      <c r="N155" s="312"/>
      <c r="O155" s="312"/>
      <c r="P155" s="312"/>
      <c r="Q155" s="312"/>
      <c r="R155" s="312"/>
      <c r="S155" s="312"/>
      <c r="T155" s="312"/>
      <c r="U155" s="312"/>
      <c r="V155" s="312"/>
      <c r="W155" s="312"/>
      <c r="X155" s="312"/>
      <c r="Y155" s="312"/>
    </row>
    <row r="156" spans="3:25" s="313" customFormat="1" hidden="1">
      <c r="C156" s="335" t="s">
        <v>368</v>
      </c>
      <c r="D156" s="336">
        <f t="shared" ref="D156" si="69">+E156</f>
        <v>2.4500000000000002</v>
      </c>
      <c r="E156" s="337">
        <f t="shared" ref="E156" si="70">+PRODUCT(F156:I156)</f>
        <v>2.4500000000000002</v>
      </c>
      <c r="F156" s="338">
        <v>1</v>
      </c>
      <c r="G156" s="338">
        <f>+E115</f>
        <v>2.4500000000000002</v>
      </c>
      <c r="H156" s="338"/>
      <c r="I156" s="339"/>
      <c r="K156" s="312"/>
      <c r="L156" s="312"/>
      <c r="M156" s="312"/>
      <c r="N156" s="312"/>
      <c r="O156" s="312"/>
      <c r="P156" s="312"/>
      <c r="Q156" s="312"/>
      <c r="R156" s="312"/>
      <c r="S156" s="312"/>
      <c r="T156" s="312"/>
      <c r="U156" s="312"/>
      <c r="V156" s="312"/>
      <c r="W156" s="312"/>
      <c r="X156" s="312"/>
      <c r="Y156" s="312"/>
    </row>
    <row r="157" spans="3:25" s="313" customFormat="1" hidden="1">
      <c r="C157" s="346"/>
      <c r="E157" s="314"/>
      <c r="F157" s="334"/>
      <c r="G157" s="334"/>
      <c r="H157" s="334"/>
      <c r="I157" s="334"/>
      <c r="K157" s="312"/>
      <c r="L157" s="312"/>
      <c r="M157" s="312"/>
      <c r="N157" s="312"/>
      <c r="O157" s="312"/>
      <c r="P157" s="312"/>
      <c r="Q157" s="312"/>
      <c r="R157" s="312"/>
      <c r="S157" s="312"/>
      <c r="T157" s="312"/>
      <c r="U157" s="312"/>
      <c r="V157" s="312"/>
      <c r="W157" s="312"/>
      <c r="X157" s="312"/>
      <c r="Y157" s="312"/>
    </row>
    <row r="158" spans="3:25" s="313" customFormat="1" hidden="1">
      <c r="C158" s="335" t="s">
        <v>369</v>
      </c>
      <c r="D158" s="336">
        <f t="shared" ref="D158" si="71">+E158</f>
        <v>1</v>
      </c>
      <c r="E158" s="337">
        <f t="shared" ref="E158" si="72">+PRODUCT(F158:I158)</f>
        <v>1</v>
      </c>
      <c r="F158" s="338">
        <v>1</v>
      </c>
      <c r="G158" s="348">
        <v>1</v>
      </c>
      <c r="H158" s="338"/>
      <c r="I158" s="339"/>
      <c r="K158" s="312"/>
      <c r="L158" s="312"/>
      <c r="M158" s="312"/>
      <c r="N158" s="312"/>
      <c r="O158" s="312"/>
      <c r="P158" s="312"/>
      <c r="Q158" s="312"/>
      <c r="R158" s="312"/>
      <c r="S158" s="312"/>
      <c r="T158" s="312"/>
      <c r="U158" s="312"/>
      <c r="V158" s="312"/>
      <c r="W158" s="312"/>
      <c r="X158" s="312"/>
      <c r="Y158" s="312"/>
    </row>
    <row r="159" spans="3:25" s="313" customFormat="1" hidden="1">
      <c r="C159" s="346"/>
      <c r="E159" s="314"/>
      <c r="F159" s="334"/>
      <c r="G159" s="334"/>
      <c r="H159" s="334"/>
      <c r="I159" s="334"/>
      <c r="K159" s="312"/>
      <c r="L159" s="312"/>
      <c r="M159" s="312"/>
      <c r="N159" s="312"/>
      <c r="O159" s="312"/>
      <c r="P159" s="312"/>
      <c r="Q159" s="312"/>
      <c r="R159" s="312"/>
      <c r="S159" s="312"/>
      <c r="T159" s="312"/>
      <c r="U159" s="312"/>
      <c r="V159" s="312"/>
      <c r="W159" s="312"/>
      <c r="X159" s="312"/>
      <c r="Y159" s="312"/>
    </row>
    <row r="160" spans="3:25" s="313" customFormat="1" hidden="1">
      <c r="C160" s="335" t="s">
        <v>370</v>
      </c>
      <c r="D160" s="336">
        <f t="shared" ref="D160" si="73">+E160</f>
        <v>1</v>
      </c>
      <c r="E160" s="337">
        <f t="shared" ref="E160" si="74">+PRODUCT(F160:I160)</f>
        <v>1</v>
      </c>
      <c r="F160" s="338">
        <v>1</v>
      </c>
      <c r="G160" s="348">
        <v>1</v>
      </c>
      <c r="H160" s="338"/>
      <c r="I160" s="339"/>
      <c r="K160" s="312"/>
      <c r="L160" s="312"/>
      <c r="M160" s="312"/>
      <c r="N160" s="312"/>
      <c r="O160" s="312"/>
      <c r="P160" s="312"/>
      <c r="Q160" s="312"/>
      <c r="R160" s="312"/>
      <c r="S160" s="312"/>
      <c r="T160" s="312"/>
      <c r="U160" s="312"/>
      <c r="V160" s="312"/>
      <c r="W160" s="312"/>
      <c r="X160" s="312"/>
      <c r="Y160" s="312"/>
    </row>
    <row r="161" spans="3:25" hidden="1"/>
    <row r="162" spans="3:25" hidden="1"/>
    <row r="163" spans="3:25" hidden="1"/>
    <row r="164" spans="3:25" hidden="1"/>
    <row r="165" spans="3:25" hidden="1"/>
    <row r="166" spans="3:25" hidden="1"/>
    <row r="167" spans="3:25" hidden="1"/>
    <row r="168" spans="3:25" hidden="1"/>
    <row r="169" spans="3:25" s="355" customFormat="1" ht="21" hidden="1">
      <c r="C169" s="352" t="s">
        <v>381</v>
      </c>
      <c r="D169" s="353"/>
      <c r="E169" s="353"/>
      <c r="F169" s="353"/>
      <c r="G169" s="353"/>
      <c r="H169" s="353"/>
      <c r="I169" s="354"/>
    </row>
    <row r="170" spans="3:25" s="313" customFormat="1" hidden="1">
      <c r="C170" s="316"/>
      <c r="D170" s="314" t="s">
        <v>329</v>
      </c>
      <c r="E170" s="314">
        <v>3.4</v>
      </c>
      <c r="F170" s="314"/>
      <c r="G170" s="314" t="s">
        <v>330</v>
      </c>
      <c r="H170" s="314">
        <v>0.2</v>
      </c>
      <c r="I170" s="315"/>
      <c r="K170" s="312"/>
      <c r="L170" s="312"/>
      <c r="M170" s="312"/>
      <c r="N170" s="312"/>
      <c r="O170" s="312"/>
      <c r="P170" s="312"/>
      <c r="Q170" s="312"/>
      <c r="R170" s="312"/>
      <c r="S170" s="312"/>
      <c r="T170" s="312"/>
      <c r="U170" s="312"/>
      <c r="V170" s="312"/>
      <c r="W170" s="312"/>
      <c r="X170" s="312"/>
      <c r="Y170" s="312"/>
    </row>
    <row r="171" spans="3:25" s="313" customFormat="1" hidden="1">
      <c r="C171" s="316"/>
      <c r="D171" s="314" t="s">
        <v>331</v>
      </c>
      <c r="E171" s="314">
        <v>2.8</v>
      </c>
      <c r="F171" s="314"/>
      <c r="G171" s="314" t="s">
        <v>332</v>
      </c>
      <c r="H171" s="314">
        <v>0.2</v>
      </c>
      <c r="I171" s="315"/>
      <c r="K171" s="312"/>
      <c r="L171" s="312"/>
      <c r="M171" s="312"/>
      <c r="N171" s="312"/>
      <c r="O171" s="312"/>
      <c r="P171" s="312"/>
      <c r="Q171" s="312"/>
      <c r="R171" s="312"/>
      <c r="S171" s="312"/>
      <c r="T171" s="312"/>
      <c r="U171" s="312"/>
      <c r="V171" s="312"/>
      <c r="W171" s="312"/>
      <c r="X171" s="312"/>
      <c r="Y171" s="312"/>
    </row>
    <row r="172" spans="3:25" s="313" customFormat="1" hidden="1">
      <c r="C172" s="316"/>
      <c r="D172" s="314" t="s">
        <v>333</v>
      </c>
      <c r="E172" s="314">
        <v>2.5</v>
      </c>
      <c r="F172" s="314"/>
      <c r="G172" s="314" t="s">
        <v>334</v>
      </c>
      <c r="H172" s="314">
        <v>0.2</v>
      </c>
      <c r="I172" s="315"/>
      <c r="K172" s="312"/>
      <c r="L172" s="312"/>
      <c r="M172" s="312"/>
      <c r="N172" s="312"/>
      <c r="O172" s="312"/>
      <c r="P172" s="312"/>
      <c r="Q172" s="312"/>
      <c r="R172" s="312"/>
      <c r="S172" s="312"/>
      <c r="T172" s="312"/>
      <c r="U172" s="312"/>
      <c r="V172" s="312"/>
      <c r="W172" s="312"/>
      <c r="X172" s="312"/>
      <c r="Y172" s="312"/>
    </row>
    <row r="173" spans="3:25" s="313" customFormat="1" hidden="1">
      <c r="C173" s="316"/>
      <c r="D173" s="314" t="s">
        <v>335</v>
      </c>
      <c r="E173" s="314">
        <v>2.1</v>
      </c>
      <c r="F173" s="314"/>
      <c r="G173" s="314"/>
      <c r="H173" s="314"/>
      <c r="I173" s="315"/>
      <c r="K173" s="312"/>
      <c r="L173" s="312"/>
      <c r="M173" s="312"/>
      <c r="N173" s="312"/>
      <c r="O173" s="312"/>
      <c r="P173" s="312"/>
      <c r="Q173" s="312"/>
      <c r="R173" s="312"/>
      <c r="S173" s="312"/>
      <c r="T173" s="312"/>
      <c r="U173" s="312"/>
      <c r="V173" s="312"/>
      <c r="W173" s="312"/>
      <c r="X173" s="312"/>
      <c r="Y173" s="312"/>
    </row>
    <row r="174" spans="3:25" s="313" customFormat="1" hidden="1">
      <c r="C174" s="316"/>
      <c r="I174" s="315"/>
      <c r="K174" s="312"/>
      <c r="L174" s="312"/>
      <c r="M174" s="312"/>
      <c r="N174" s="312"/>
      <c r="O174" s="312"/>
      <c r="P174" s="312"/>
      <c r="Q174" s="312"/>
      <c r="R174" s="312"/>
      <c r="S174" s="312"/>
      <c r="T174" s="312"/>
      <c r="U174" s="312"/>
      <c r="V174" s="312"/>
      <c r="W174" s="312"/>
      <c r="X174" s="312"/>
      <c r="Y174" s="312"/>
    </row>
    <row r="175" spans="3:25" s="313" customFormat="1" hidden="1">
      <c r="C175" s="312"/>
      <c r="F175" s="313" t="s">
        <v>227</v>
      </c>
      <c r="G175" s="313" t="s">
        <v>336</v>
      </c>
      <c r="H175" s="313" t="s">
        <v>226</v>
      </c>
      <c r="I175" s="313" t="s">
        <v>2</v>
      </c>
      <c r="K175" s="312"/>
      <c r="L175" s="312"/>
      <c r="M175" s="312"/>
      <c r="N175" s="312"/>
      <c r="O175" s="312"/>
      <c r="P175" s="312"/>
      <c r="Q175" s="312"/>
      <c r="R175" s="312"/>
      <c r="S175" s="312"/>
      <c r="T175" s="312"/>
      <c r="U175" s="312"/>
      <c r="V175" s="312"/>
      <c r="W175" s="312"/>
      <c r="X175" s="312"/>
      <c r="Y175" s="312"/>
    </row>
    <row r="176" spans="3:25" s="313" customFormat="1" hidden="1">
      <c r="C176" s="317" t="s">
        <v>337</v>
      </c>
      <c r="D176" s="318">
        <f>+E176</f>
        <v>9.52</v>
      </c>
      <c r="E176" s="319">
        <f>+PRODUCT(F176:I176)</f>
        <v>9.52</v>
      </c>
      <c r="F176" s="320">
        <v>1</v>
      </c>
      <c r="G176" s="320">
        <f>+E170</f>
        <v>3.4</v>
      </c>
      <c r="H176" s="320">
        <f>+E171</f>
        <v>2.8</v>
      </c>
      <c r="I176" s="321"/>
      <c r="K176" s="312"/>
      <c r="L176" s="312"/>
      <c r="M176" s="312"/>
      <c r="N176" s="312"/>
      <c r="O176" s="312"/>
      <c r="P176" s="312"/>
      <c r="Q176" s="312"/>
      <c r="R176" s="312"/>
      <c r="S176" s="312"/>
      <c r="T176" s="312"/>
      <c r="U176" s="312"/>
      <c r="V176" s="312"/>
      <c r="W176" s="312"/>
      <c r="X176" s="312"/>
      <c r="Y176" s="312"/>
    </row>
    <row r="177" spans="3:25" s="313" customFormat="1" hidden="1">
      <c r="C177" s="322" t="s">
        <v>338</v>
      </c>
      <c r="D177" s="323">
        <f t="shared" ref="D177" si="75">+E177</f>
        <v>9.52</v>
      </c>
      <c r="E177" s="324">
        <f t="shared" ref="E177:E183" si="76">+PRODUCT(F177:I177)</f>
        <v>9.52</v>
      </c>
      <c r="F177" s="325">
        <f t="shared" ref="F177:H178" si="77">+F176</f>
        <v>1</v>
      </c>
      <c r="G177" s="325">
        <f t="shared" si="77"/>
        <v>3.4</v>
      </c>
      <c r="H177" s="325">
        <f t="shared" si="77"/>
        <v>2.8</v>
      </c>
      <c r="I177" s="326"/>
      <c r="K177" s="312"/>
      <c r="L177" s="312"/>
      <c r="M177" s="312"/>
      <c r="N177" s="312"/>
      <c r="O177" s="312"/>
      <c r="P177" s="312"/>
      <c r="Q177" s="312"/>
      <c r="R177" s="312"/>
      <c r="S177" s="312"/>
      <c r="T177" s="312"/>
      <c r="U177" s="312"/>
      <c r="V177" s="312"/>
      <c r="W177" s="312"/>
      <c r="X177" s="312"/>
      <c r="Y177" s="312"/>
    </row>
    <row r="178" spans="3:25" s="313" customFormat="1" hidden="1">
      <c r="C178" s="322" t="s">
        <v>339</v>
      </c>
      <c r="D178" s="323">
        <f>SUM(E178:E180)</f>
        <v>40.192</v>
      </c>
      <c r="E178" s="324">
        <f t="shared" si="76"/>
        <v>23.799999999999997</v>
      </c>
      <c r="F178" s="325">
        <f t="shared" si="77"/>
        <v>1</v>
      </c>
      <c r="G178" s="325">
        <f t="shared" si="77"/>
        <v>3.4</v>
      </c>
      <c r="H178" s="325">
        <f t="shared" si="77"/>
        <v>2.8</v>
      </c>
      <c r="I178" s="326">
        <f>+E172</f>
        <v>2.5</v>
      </c>
      <c r="K178" s="312"/>
      <c r="L178" s="312"/>
      <c r="M178" s="312"/>
      <c r="N178" s="312"/>
      <c r="O178" s="312"/>
      <c r="P178" s="312"/>
      <c r="Q178" s="312"/>
      <c r="R178" s="312"/>
      <c r="S178" s="312"/>
      <c r="T178" s="312"/>
      <c r="U178" s="312"/>
      <c r="V178" s="312"/>
      <c r="W178" s="312"/>
      <c r="X178" s="312"/>
      <c r="Y178" s="312"/>
    </row>
    <row r="179" spans="3:25" s="313" customFormat="1" hidden="1">
      <c r="C179" s="327" t="s">
        <v>340</v>
      </c>
      <c r="D179" s="324"/>
      <c r="E179" s="324">
        <f t="shared" si="76"/>
        <v>16.32</v>
      </c>
      <c r="F179" s="325">
        <v>0.8</v>
      </c>
      <c r="G179" s="325">
        <f>+(G178*2+1.2)+H178*2</f>
        <v>13.6</v>
      </c>
      <c r="H179" s="325">
        <v>0.6</v>
      </c>
      <c r="I179" s="326">
        <f>+I178</f>
        <v>2.5</v>
      </c>
      <c r="K179" s="312"/>
      <c r="L179" s="312"/>
      <c r="M179" s="312"/>
      <c r="N179" s="312"/>
      <c r="O179" s="312"/>
      <c r="P179" s="312"/>
      <c r="Q179" s="312"/>
      <c r="R179" s="312"/>
      <c r="S179" s="312"/>
      <c r="T179" s="312"/>
      <c r="U179" s="312"/>
      <c r="V179" s="312"/>
      <c r="W179" s="312"/>
      <c r="X179" s="312"/>
      <c r="Y179" s="312"/>
    </row>
    <row r="180" spans="3:25" s="313" customFormat="1" hidden="1">
      <c r="C180" s="327"/>
      <c r="D180" s="324"/>
      <c r="E180" s="324">
        <f t="shared" si="76"/>
        <v>7.1999999999999995E-2</v>
      </c>
      <c r="F180" s="325">
        <v>0.8</v>
      </c>
      <c r="G180" s="325">
        <v>0.3</v>
      </c>
      <c r="H180" s="325">
        <v>0.3</v>
      </c>
      <c r="I180" s="326">
        <v>1</v>
      </c>
      <c r="K180" s="312"/>
      <c r="L180" s="312"/>
      <c r="M180" s="312"/>
      <c r="N180" s="312"/>
      <c r="O180" s="312"/>
      <c r="P180" s="312"/>
      <c r="Q180" s="312"/>
      <c r="R180" s="312"/>
      <c r="S180" s="312"/>
      <c r="T180" s="312"/>
      <c r="U180" s="312"/>
      <c r="V180" s="312"/>
      <c r="W180" s="312"/>
      <c r="X180" s="312"/>
      <c r="Y180" s="312"/>
    </row>
    <row r="181" spans="3:25" s="313" customFormat="1" hidden="1">
      <c r="C181" s="322" t="s">
        <v>341</v>
      </c>
      <c r="D181" s="323">
        <f>+E181</f>
        <v>9.52</v>
      </c>
      <c r="E181" s="324">
        <f t="shared" si="76"/>
        <v>9.52</v>
      </c>
      <c r="F181" s="325">
        <f>+F178</f>
        <v>1</v>
      </c>
      <c r="G181" s="325">
        <f>+G178</f>
        <v>3.4</v>
      </c>
      <c r="H181" s="325">
        <f>+H178</f>
        <v>2.8</v>
      </c>
      <c r="I181" s="326"/>
      <c r="K181" s="312"/>
      <c r="L181" s="312"/>
      <c r="M181" s="312"/>
      <c r="N181" s="312"/>
      <c r="O181" s="312"/>
      <c r="P181" s="312"/>
      <c r="Q181" s="312"/>
      <c r="R181" s="312"/>
      <c r="S181" s="312"/>
      <c r="T181" s="312"/>
      <c r="U181" s="312"/>
      <c r="V181" s="312"/>
      <c r="W181" s="312"/>
      <c r="X181" s="312"/>
      <c r="Y181" s="312"/>
    </row>
    <row r="182" spans="3:25" s="313" customFormat="1" hidden="1">
      <c r="C182" s="322" t="s">
        <v>342</v>
      </c>
      <c r="D182" s="323">
        <f t="shared" ref="D182:D218" si="78">+E182</f>
        <v>16.32</v>
      </c>
      <c r="E182" s="324">
        <f t="shared" si="76"/>
        <v>16.32</v>
      </c>
      <c r="F182" s="325">
        <f>+E179</f>
        <v>16.32</v>
      </c>
      <c r="G182" s="325"/>
      <c r="H182" s="325"/>
      <c r="I182" s="326"/>
      <c r="K182" s="312"/>
      <c r="L182" s="312"/>
      <c r="M182" s="312"/>
      <c r="N182" s="312"/>
      <c r="O182" s="312"/>
      <c r="P182" s="312"/>
      <c r="Q182" s="312"/>
      <c r="R182" s="312"/>
      <c r="S182" s="312"/>
      <c r="T182" s="312"/>
      <c r="U182" s="312"/>
      <c r="V182" s="312"/>
      <c r="W182" s="312"/>
      <c r="X182" s="312"/>
      <c r="Y182" s="312"/>
    </row>
    <row r="183" spans="3:25" s="313" customFormat="1" hidden="1">
      <c r="C183" s="328" t="s">
        <v>343</v>
      </c>
      <c r="D183" s="329">
        <f t="shared" si="78"/>
        <v>23.872</v>
      </c>
      <c r="E183" s="330">
        <f t="shared" si="76"/>
        <v>23.872</v>
      </c>
      <c r="F183" s="331">
        <f>+D178-D182</f>
        <v>23.872</v>
      </c>
      <c r="G183" s="331"/>
      <c r="H183" s="331"/>
      <c r="I183" s="33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2"/>
      <c r="V183" s="312"/>
      <c r="W183" s="312"/>
      <c r="X183" s="312"/>
      <c r="Y183" s="312"/>
    </row>
    <row r="184" spans="3:25" s="313" customFormat="1" hidden="1">
      <c r="C184" s="333"/>
      <c r="D184" s="310"/>
      <c r="E184" s="314"/>
      <c r="F184" s="334"/>
      <c r="G184" s="334"/>
      <c r="H184" s="334"/>
      <c r="I184" s="334"/>
      <c r="K184" s="312"/>
      <c r="L184" s="312"/>
      <c r="M184" s="312"/>
      <c r="N184" s="312"/>
      <c r="O184" s="312"/>
      <c r="P184" s="312"/>
      <c r="Q184" s="312"/>
      <c r="R184" s="312"/>
      <c r="S184" s="312"/>
      <c r="T184" s="312"/>
      <c r="U184" s="312"/>
      <c r="V184" s="312"/>
      <c r="W184" s="312"/>
      <c r="X184" s="312"/>
      <c r="Y184" s="312"/>
    </row>
    <row r="185" spans="3:25" s="313" customFormat="1" hidden="1">
      <c r="C185" s="335" t="s">
        <v>344</v>
      </c>
      <c r="D185" s="336">
        <f t="shared" si="78"/>
        <v>6.3E-2</v>
      </c>
      <c r="E185" s="337">
        <f t="shared" ref="E185" si="79">+PRODUCT(F185:I185)</f>
        <v>6.3E-2</v>
      </c>
      <c r="F185" s="338">
        <v>1</v>
      </c>
      <c r="G185" s="338">
        <v>0.3</v>
      </c>
      <c r="H185" s="338">
        <v>0.3</v>
      </c>
      <c r="I185" s="339">
        <v>0.7</v>
      </c>
      <c r="K185" s="312"/>
      <c r="L185" s="312"/>
      <c r="M185" s="312"/>
      <c r="N185" s="312"/>
      <c r="O185" s="312"/>
      <c r="P185" s="312"/>
      <c r="Q185" s="312"/>
      <c r="R185" s="312"/>
      <c r="S185" s="312"/>
      <c r="T185" s="312"/>
      <c r="U185" s="312"/>
      <c r="V185" s="312"/>
      <c r="W185" s="312"/>
      <c r="X185" s="312"/>
      <c r="Y185" s="312"/>
    </row>
    <row r="186" spans="3:25" s="313" customFormat="1" hidden="1">
      <c r="C186" s="333"/>
      <c r="D186" s="310"/>
      <c r="E186" s="314"/>
      <c r="F186" s="334"/>
      <c r="G186" s="334"/>
      <c r="H186" s="334"/>
      <c r="I186" s="334"/>
      <c r="K186" s="312"/>
      <c r="L186" s="312"/>
      <c r="M186" s="312"/>
      <c r="N186" s="312"/>
      <c r="O186" s="312"/>
      <c r="P186" s="312"/>
      <c r="Q186" s="312"/>
      <c r="R186" s="312"/>
      <c r="S186" s="312"/>
      <c r="T186" s="312"/>
      <c r="U186" s="312"/>
      <c r="V186" s="312"/>
      <c r="W186" s="312"/>
      <c r="X186" s="312"/>
      <c r="Y186" s="312"/>
    </row>
    <row r="187" spans="3:25" s="313" customFormat="1" hidden="1">
      <c r="C187" s="335" t="s">
        <v>345</v>
      </c>
      <c r="D187" s="336">
        <f t="shared" si="78"/>
        <v>0.95199999999999996</v>
      </c>
      <c r="E187" s="337">
        <f t="shared" ref="E187" si="80">+PRODUCT(F187:I187)</f>
        <v>0.95199999999999996</v>
      </c>
      <c r="F187" s="338">
        <f>+F176</f>
        <v>1</v>
      </c>
      <c r="G187" s="338">
        <f>+G176</f>
        <v>3.4</v>
      </c>
      <c r="H187" s="338">
        <f>+H176</f>
        <v>2.8</v>
      </c>
      <c r="I187" s="339">
        <v>0.1</v>
      </c>
      <c r="K187" s="312"/>
      <c r="L187" s="312"/>
      <c r="M187" s="312"/>
      <c r="N187" s="312"/>
      <c r="O187" s="312"/>
      <c r="P187" s="312"/>
      <c r="Q187" s="312"/>
      <c r="R187" s="312"/>
      <c r="S187" s="312"/>
      <c r="T187" s="312"/>
      <c r="U187" s="312"/>
      <c r="V187" s="312"/>
      <c r="W187" s="312"/>
      <c r="X187" s="312"/>
      <c r="Y187" s="312"/>
    </row>
    <row r="188" spans="3:25" hidden="1">
      <c r="C188" s="333"/>
      <c r="D188" s="340"/>
      <c r="F188" s="334"/>
      <c r="G188" s="334"/>
      <c r="H188" s="334"/>
      <c r="I188" s="334"/>
      <c r="K188" s="311" t="s">
        <v>346</v>
      </c>
      <c r="L188" s="309" t="s">
        <v>336</v>
      </c>
      <c r="M188" s="312" t="s">
        <v>347</v>
      </c>
      <c r="N188" s="309" t="s">
        <v>227</v>
      </c>
      <c r="O188" s="309" t="s">
        <v>348</v>
      </c>
      <c r="P188" s="309" t="s">
        <v>349</v>
      </c>
      <c r="Q188" s="309" t="s">
        <v>350</v>
      </c>
    </row>
    <row r="189" spans="3:25" hidden="1">
      <c r="C189" s="317" t="s">
        <v>351</v>
      </c>
      <c r="D189" s="341">
        <f t="shared" si="78"/>
        <v>5.808E-2</v>
      </c>
      <c r="E189" s="319">
        <f t="shared" ref="E189:E191" si="81">+PRODUCT(F189:I189)</f>
        <v>5.808E-2</v>
      </c>
      <c r="F189" s="320">
        <v>1</v>
      </c>
      <c r="G189" s="342">
        <v>0.55000000000000004</v>
      </c>
      <c r="H189" s="320">
        <v>0.22</v>
      </c>
      <c r="I189" s="321">
        <v>0.48</v>
      </c>
      <c r="K189" s="312" t="s">
        <v>352</v>
      </c>
      <c r="L189" s="312">
        <f>+G189+0.3*2-0.08</f>
        <v>1.0699999999999998</v>
      </c>
      <c r="M189" s="312">
        <v>2</v>
      </c>
      <c r="N189" s="312">
        <f>ROUND((G189-0.08)/0.15+1,0)</f>
        <v>4</v>
      </c>
      <c r="O189" s="343">
        <v>0.375</v>
      </c>
      <c r="P189" s="312">
        <v>0.56000000000000005</v>
      </c>
      <c r="Q189" s="313">
        <f>+L189*M189*N189*P189</f>
        <v>4.7935999999999996</v>
      </c>
    </row>
    <row r="190" spans="3:25" hidden="1">
      <c r="C190" s="322" t="s">
        <v>353</v>
      </c>
      <c r="D190" s="344">
        <f t="shared" si="78"/>
        <v>0.73919999999999997</v>
      </c>
      <c r="E190" s="324">
        <f t="shared" si="81"/>
        <v>0.73919999999999997</v>
      </c>
      <c r="F190" s="325">
        <v>1</v>
      </c>
      <c r="G190" s="325">
        <f>+G189*2+H189*2</f>
        <v>1.54</v>
      </c>
      <c r="H190" s="325"/>
      <c r="I190" s="326">
        <v>0.48</v>
      </c>
    </row>
    <row r="191" spans="3:25" hidden="1">
      <c r="C191" s="328" t="s">
        <v>354</v>
      </c>
      <c r="D191" s="345">
        <f t="shared" si="78"/>
        <v>4.7935999999999996</v>
      </c>
      <c r="E191" s="330">
        <f t="shared" si="81"/>
        <v>4.7935999999999996</v>
      </c>
      <c r="F191" s="331">
        <f>+Q189</f>
        <v>4.7935999999999996</v>
      </c>
      <c r="G191" s="331"/>
      <c r="H191" s="331"/>
      <c r="I191" s="332"/>
    </row>
    <row r="192" spans="3:25" hidden="1">
      <c r="C192" s="333"/>
      <c r="D192" s="310"/>
      <c r="E192" s="314"/>
      <c r="F192" s="334"/>
      <c r="G192" s="334"/>
      <c r="H192" s="334"/>
      <c r="I192" s="334"/>
      <c r="K192" s="311" t="s">
        <v>355</v>
      </c>
      <c r="L192" s="309" t="s">
        <v>336</v>
      </c>
      <c r="M192" s="312" t="s">
        <v>347</v>
      </c>
      <c r="N192" s="309" t="s">
        <v>227</v>
      </c>
      <c r="O192" s="309" t="s">
        <v>348</v>
      </c>
      <c r="P192" s="309" t="s">
        <v>349</v>
      </c>
      <c r="Q192" s="309" t="s">
        <v>350</v>
      </c>
    </row>
    <row r="193" spans="3:25" hidden="1">
      <c r="C193" s="317" t="s">
        <v>356</v>
      </c>
      <c r="D193" s="341">
        <f t="shared" si="78"/>
        <v>1.9039999999999999</v>
      </c>
      <c r="E193" s="319">
        <f t="shared" ref="E193:E195" si="82">+PRODUCT(F193:I193)</f>
        <v>1.9039999999999999</v>
      </c>
      <c r="F193" s="320">
        <v>1</v>
      </c>
      <c r="G193" s="320">
        <f>+E170</f>
        <v>3.4</v>
      </c>
      <c r="H193" s="320">
        <f>+E171</f>
        <v>2.8</v>
      </c>
      <c r="I193" s="321">
        <f>+H170</f>
        <v>0.2</v>
      </c>
      <c r="K193" s="312" t="s">
        <v>352</v>
      </c>
      <c r="L193" s="312">
        <f>+E170+0.3*2-0.08</f>
        <v>3.92</v>
      </c>
      <c r="M193" s="312">
        <v>2</v>
      </c>
      <c r="N193" s="312">
        <f>ROUND((E171-0.08)/0.25+1,0)</f>
        <v>12</v>
      </c>
      <c r="O193" s="343">
        <v>0.375</v>
      </c>
      <c r="P193" s="312">
        <v>0.56000000000000005</v>
      </c>
      <c r="Q193" s="313">
        <f>+L193*M193*N193*P193</f>
        <v>52.684800000000003</v>
      </c>
    </row>
    <row r="194" spans="3:25" hidden="1">
      <c r="C194" s="322" t="s">
        <v>353</v>
      </c>
      <c r="D194" s="344">
        <f t="shared" si="78"/>
        <v>2.48</v>
      </c>
      <c r="E194" s="324">
        <f t="shared" si="82"/>
        <v>2.48</v>
      </c>
      <c r="F194" s="325">
        <v>1</v>
      </c>
      <c r="G194" s="325">
        <f>+G193*2+H193*2</f>
        <v>12.399999999999999</v>
      </c>
      <c r="H194" s="325"/>
      <c r="I194" s="326">
        <f>+I193</f>
        <v>0.2</v>
      </c>
      <c r="K194" s="312" t="s">
        <v>357</v>
      </c>
      <c r="L194" s="312">
        <f>+E171+0.3*2-0.08</f>
        <v>3.32</v>
      </c>
      <c r="M194" s="312">
        <v>2</v>
      </c>
      <c r="N194" s="312">
        <f>ROUND((E170-0.08)/0.25+1,0)</f>
        <v>14</v>
      </c>
      <c r="O194" s="343">
        <v>0.375</v>
      </c>
      <c r="P194" s="312">
        <v>0.56000000000000005</v>
      </c>
      <c r="Q194" s="313">
        <f>+L194*M194*N194*P194</f>
        <v>52.057600000000001</v>
      </c>
    </row>
    <row r="195" spans="3:25" hidden="1">
      <c r="C195" s="328" t="s">
        <v>354</v>
      </c>
      <c r="D195" s="345">
        <f t="shared" si="78"/>
        <v>104.7424</v>
      </c>
      <c r="E195" s="330">
        <f t="shared" si="82"/>
        <v>104.7424</v>
      </c>
      <c r="F195" s="331">
        <f>+Q195</f>
        <v>104.7424</v>
      </c>
      <c r="G195" s="331"/>
      <c r="H195" s="331"/>
      <c r="I195" s="332"/>
      <c r="Q195" s="310">
        <f>SUM(Q193:Q194)</f>
        <v>104.7424</v>
      </c>
    </row>
    <row r="196" spans="3:25" hidden="1">
      <c r="C196" s="333"/>
      <c r="D196" s="310"/>
      <c r="E196" s="314"/>
      <c r="F196" s="334"/>
      <c r="G196" s="334"/>
      <c r="H196" s="334"/>
      <c r="I196" s="334"/>
    </row>
    <row r="197" spans="3:25" hidden="1">
      <c r="C197" s="317" t="s">
        <v>358</v>
      </c>
      <c r="D197" s="341">
        <f t="shared" si="78"/>
        <v>4.8719999999999999</v>
      </c>
      <c r="E197" s="319">
        <f t="shared" ref="E197:E200" si="83">+PRODUCT(F197:I197)</f>
        <v>4.8719999999999999</v>
      </c>
      <c r="F197" s="320">
        <v>1</v>
      </c>
      <c r="G197" s="320">
        <f>+E170*2+(E171-2*H171)*2</f>
        <v>11.6</v>
      </c>
      <c r="H197" s="320">
        <f>+H171</f>
        <v>0.2</v>
      </c>
      <c r="I197" s="321">
        <f>+E173</f>
        <v>2.1</v>
      </c>
      <c r="K197" s="311" t="s">
        <v>359</v>
      </c>
      <c r="L197" s="309" t="s">
        <v>336</v>
      </c>
      <c r="M197" s="312" t="s">
        <v>360</v>
      </c>
      <c r="N197" s="309" t="s">
        <v>227</v>
      </c>
      <c r="O197" s="309" t="s">
        <v>348</v>
      </c>
      <c r="P197" s="309" t="s">
        <v>349</v>
      </c>
      <c r="Q197" s="309" t="s">
        <v>350</v>
      </c>
      <c r="S197" s="311" t="s">
        <v>361</v>
      </c>
      <c r="T197" s="309" t="s">
        <v>336</v>
      </c>
      <c r="U197" s="312" t="s">
        <v>360</v>
      </c>
      <c r="V197" s="309" t="s">
        <v>227</v>
      </c>
      <c r="W197" s="309" t="s">
        <v>348</v>
      </c>
      <c r="X197" s="309" t="s">
        <v>349</v>
      </c>
      <c r="Y197" s="309" t="s">
        <v>350</v>
      </c>
    </row>
    <row r="198" spans="3:25" hidden="1">
      <c r="C198" s="322" t="s">
        <v>353</v>
      </c>
      <c r="D198" s="344">
        <f>+E198+E199</f>
        <v>48.72</v>
      </c>
      <c r="E198" s="324">
        <f t="shared" si="83"/>
        <v>26.04</v>
      </c>
      <c r="F198" s="325">
        <v>1</v>
      </c>
      <c r="G198" s="325">
        <f>+(E170+E171)*2</f>
        <v>12.399999999999999</v>
      </c>
      <c r="H198" s="325"/>
      <c r="I198" s="326">
        <f>+I197</f>
        <v>2.1</v>
      </c>
      <c r="K198" s="312" t="s">
        <v>362</v>
      </c>
      <c r="L198" s="312">
        <f>+E170+0.3*2-0.08</f>
        <v>3.92</v>
      </c>
      <c r="M198" s="312">
        <f>2+2</f>
        <v>4</v>
      </c>
      <c r="N198" s="312">
        <f>ROUND((E173-0.08)/0.25+1,0)</f>
        <v>9</v>
      </c>
      <c r="O198" s="343">
        <v>0.375</v>
      </c>
      <c r="P198" s="312">
        <v>0.56000000000000005</v>
      </c>
      <c r="Q198" s="313">
        <f t="shared" ref="Q198:Q199" si="84">+L198*M198*N198*P198</f>
        <v>79.027200000000008</v>
      </c>
      <c r="S198" s="312" t="s">
        <v>362</v>
      </c>
      <c r="T198" s="312">
        <f>+E171+0.3*2-0.08</f>
        <v>3.32</v>
      </c>
      <c r="U198" s="312">
        <f>2+2</f>
        <v>4</v>
      </c>
      <c r="V198" s="312">
        <f>ROUND((E173-0.08)/0.25+1,0)</f>
        <v>9</v>
      </c>
      <c r="W198" s="343">
        <v>0.375</v>
      </c>
      <c r="X198" s="312">
        <v>0.56000000000000005</v>
      </c>
      <c r="Y198" s="313">
        <f t="shared" ref="Y198:Y199" si="85">+T198*U198*V198*X198</f>
        <v>66.931200000000004</v>
      </c>
    </row>
    <row r="199" spans="3:25" hidden="1">
      <c r="C199" s="322"/>
      <c r="D199" s="344"/>
      <c r="E199" s="324">
        <f t="shared" si="83"/>
        <v>22.680000000000003</v>
      </c>
      <c r="F199" s="325">
        <v>1</v>
      </c>
      <c r="G199" s="325">
        <f>+(E170-2*H171)*2+(E171-2*H171)*2</f>
        <v>10.8</v>
      </c>
      <c r="H199" s="325"/>
      <c r="I199" s="326">
        <f>+I198</f>
        <v>2.1</v>
      </c>
      <c r="K199" s="312" t="s">
        <v>363</v>
      </c>
      <c r="L199" s="312">
        <f>+E173+0.3*2-0.04+H172+H170</f>
        <v>3.0600000000000005</v>
      </c>
      <c r="M199" s="312">
        <f>2+2</f>
        <v>4</v>
      </c>
      <c r="N199" s="312">
        <f>ROUND((E170-0.08)/0.25+1,0)</f>
        <v>14</v>
      </c>
      <c r="O199" s="343">
        <v>0.375</v>
      </c>
      <c r="P199" s="312">
        <v>0.56000000000000005</v>
      </c>
      <c r="Q199" s="313">
        <f t="shared" si="84"/>
        <v>95.961600000000018</v>
      </c>
      <c r="S199" s="312" t="s">
        <v>363</v>
      </c>
      <c r="T199" s="312">
        <f>+E173+0.3*2-0.04+H172+H170</f>
        <v>3.0600000000000005</v>
      </c>
      <c r="U199" s="312">
        <f>2+2</f>
        <v>4</v>
      </c>
      <c r="V199" s="312">
        <f>ROUND((E171-0.08)/0.25+1,0)</f>
        <v>12</v>
      </c>
      <c r="W199" s="343">
        <v>0.375</v>
      </c>
      <c r="X199" s="312">
        <v>0.56000000000000005</v>
      </c>
      <c r="Y199" s="313">
        <f t="shared" si="85"/>
        <v>82.252800000000022</v>
      </c>
    </row>
    <row r="200" spans="3:25" hidden="1">
      <c r="C200" s="328" t="s">
        <v>354</v>
      </c>
      <c r="D200" s="345">
        <f t="shared" si="78"/>
        <v>324.17280000000005</v>
      </c>
      <c r="E200" s="330">
        <f t="shared" si="83"/>
        <v>324.17280000000005</v>
      </c>
      <c r="F200" s="331">
        <f>+Q200+Y200</f>
        <v>324.17280000000005</v>
      </c>
      <c r="G200" s="331"/>
      <c r="H200" s="331"/>
      <c r="I200" s="332"/>
      <c r="Q200" s="310">
        <f>SUM(Q198:Q199)</f>
        <v>174.98880000000003</v>
      </c>
      <c r="Y200" s="310">
        <f>SUM(Y198:Y199)</f>
        <v>149.18400000000003</v>
      </c>
    </row>
    <row r="201" spans="3:25" hidden="1">
      <c r="C201" s="346"/>
      <c r="E201" s="314"/>
      <c r="F201" s="334"/>
      <c r="G201" s="334"/>
      <c r="H201" s="334"/>
      <c r="I201" s="334"/>
    </row>
    <row r="202" spans="3:25" hidden="1">
      <c r="C202" s="317" t="s">
        <v>364</v>
      </c>
      <c r="D202" s="341">
        <f>+E202+E203</f>
        <v>1.504</v>
      </c>
      <c r="E202" s="319">
        <f t="shared" ref="E202:E208" si="86">+PRODUCT(F202:I202)</f>
        <v>1.9039999999999999</v>
      </c>
      <c r="F202" s="320">
        <v>1</v>
      </c>
      <c r="G202" s="320">
        <f>+G193</f>
        <v>3.4</v>
      </c>
      <c r="H202" s="320">
        <f>+H193</f>
        <v>2.8</v>
      </c>
      <c r="I202" s="321">
        <f>+H172</f>
        <v>0.2</v>
      </c>
      <c r="K202" s="311" t="s">
        <v>365</v>
      </c>
      <c r="L202" s="309" t="s">
        <v>336</v>
      </c>
      <c r="M202" s="312" t="s">
        <v>347</v>
      </c>
      <c r="N202" s="309" t="s">
        <v>227</v>
      </c>
      <c r="O202" s="309" t="s">
        <v>348</v>
      </c>
      <c r="P202" s="309" t="s">
        <v>349</v>
      </c>
      <c r="Q202" s="309" t="s">
        <v>350</v>
      </c>
    </row>
    <row r="203" spans="3:25" hidden="1">
      <c r="C203" s="322"/>
      <c r="D203" s="344"/>
      <c r="E203" s="324">
        <f t="shared" si="86"/>
        <v>-0.4</v>
      </c>
      <c r="F203" s="325">
        <v>-1</v>
      </c>
      <c r="G203" s="349">
        <v>0.8</v>
      </c>
      <c r="H203" s="349">
        <v>2.5</v>
      </c>
      <c r="I203" s="326">
        <f>+I202</f>
        <v>0.2</v>
      </c>
      <c r="K203" s="312" t="s">
        <v>352</v>
      </c>
      <c r="L203" s="350">
        <f>(E170-0.8)+0.3*2-0.08</f>
        <v>3.1199999999999997</v>
      </c>
      <c r="M203" s="312">
        <v>2</v>
      </c>
      <c r="N203" s="312">
        <f>ROUND((E171-0.08)/0.25+1,0)</f>
        <v>12</v>
      </c>
      <c r="O203" s="343">
        <v>0.375</v>
      </c>
      <c r="P203" s="312">
        <v>0.56000000000000005</v>
      </c>
      <c r="Q203" s="313">
        <f>+L203*M203*N203*P203*1.075</f>
        <v>45.077759999999998</v>
      </c>
    </row>
    <row r="204" spans="3:25" hidden="1">
      <c r="C204" s="322" t="s">
        <v>353</v>
      </c>
      <c r="D204" s="344">
        <f>SUM(E204:E207)</f>
        <v>3.9039999999999999</v>
      </c>
      <c r="E204" s="324">
        <f t="shared" si="86"/>
        <v>1.9039999999999999</v>
      </c>
      <c r="F204" s="325">
        <v>1</v>
      </c>
      <c r="G204" s="325">
        <f>+G202</f>
        <v>3.4</v>
      </c>
      <c r="H204" s="325">
        <f>+H202</f>
        <v>2.8</v>
      </c>
      <c r="I204" s="326">
        <f>+I202</f>
        <v>0.2</v>
      </c>
      <c r="K204" s="312" t="s">
        <v>357</v>
      </c>
      <c r="L204" s="312">
        <f>+E171+0.3*2-0.08</f>
        <v>3.32</v>
      </c>
      <c r="M204" s="312">
        <v>2</v>
      </c>
      <c r="N204" s="312">
        <f>ROUND((E170-0.08)/0.25+1,0)</f>
        <v>14</v>
      </c>
      <c r="O204" s="343">
        <v>0.375</v>
      </c>
      <c r="P204" s="312">
        <v>0.56000000000000005</v>
      </c>
      <c r="Q204" s="313">
        <f>+L204*M204*N204*P204*1.075</f>
        <v>55.961919999999999</v>
      </c>
    </row>
    <row r="205" spans="3:25" hidden="1">
      <c r="C205" s="322"/>
      <c r="D205" s="344"/>
      <c r="E205" s="324">
        <f t="shared" si="86"/>
        <v>-2</v>
      </c>
      <c r="F205" s="325">
        <v>-1</v>
      </c>
      <c r="G205" s="325">
        <f>+G203</f>
        <v>0.8</v>
      </c>
      <c r="H205" s="325">
        <f>+H203</f>
        <v>2.5</v>
      </c>
      <c r="I205" s="326"/>
      <c r="Q205" s="310">
        <f>SUM(Q203:Q204)</f>
        <v>101.03968</v>
      </c>
    </row>
    <row r="206" spans="3:25" hidden="1">
      <c r="C206" s="322"/>
      <c r="D206" s="344"/>
      <c r="E206" s="324">
        <f t="shared" si="86"/>
        <v>2.8</v>
      </c>
      <c r="F206" s="325">
        <v>1</v>
      </c>
      <c r="G206" s="325">
        <f>+G203*2</f>
        <v>1.6</v>
      </c>
      <c r="H206" s="325">
        <f>+H203*2</f>
        <v>5</v>
      </c>
      <c r="I206" s="347">
        <v>0.35</v>
      </c>
    </row>
    <row r="207" spans="3:25" hidden="1">
      <c r="C207" s="322"/>
      <c r="D207" s="344"/>
      <c r="E207" s="324">
        <f t="shared" si="86"/>
        <v>1.2</v>
      </c>
      <c r="F207" s="325">
        <v>1</v>
      </c>
      <c r="G207" s="325">
        <f>+G206</f>
        <v>1.6</v>
      </c>
      <c r="H207" s="325">
        <f>+H206</f>
        <v>5</v>
      </c>
      <c r="I207" s="347">
        <v>0.15</v>
      </c>
    </row>
    <row r="208" spans="3:25" hidden="1">
      <c r="C208" s="328" t="s">
        <v>354</v>
      </c>
      <c r="D208" s="345">
        <f t="shared" si="78"/>
        <v>101.03968</v>
      </c>
      <c r="E208" s="330">
        <f t="shared" si="86"/>
        <v>101.03968</v>
      </c>
      <c r="F208" s="331">
        <f>+Q205</f>
        <v>101.03968</v>
      </c>
      <c r="G208" s="331"/>
      <c r="H208" s="331"/>
      <c r="I208" s="332"/>
    </row>
    <row r="209" spans="3:13" hidden="1">
      <c r="C209" s="346"/>
      <c r="E209" s="314"/>
      <c r="F209" s="334"/>
      <c r="G209" s="334"/>
      <c r="H209" s="334"/>
      <c r="I209" s="334"/>
    </row>
    <row r="210" spans="3:13" hidden="1">
      <c r="C210" s="335" t="s">
        <v>366</v>
      </c>
      <c r="D210" s="336">
        <f t="shared" si="78"/>
        <v>22.680000000000003</v>
      </c>
      <c r="E210" s="337">
        <f t="shared" ref="E210" si="87">+PRODUCT(F210:I210)</f>
        <v>22.680000000000003</v>
      </c>
      <c r="F210" s="338">
        <v>1</v>
      </c>
      <c r="G210" s="338">
        <f>+G199</f>
        <v>10.8</v>
      </c>
      <c r="H210" s="338"/>
      <c r="I210" s="339">
        <f>+I197</f>
        <v>2.1</v>
      </c>
    </row>
    <row r="211" spans="3:13" hidden="1">
      <c r="C211" s="346"/>
      <c r="E211" s="314"/>
      <c r="F211" s="334"/>
      <c r="G211" s="334"/>
      <c r="H211" s="334"/>
      <c r="I211" s="334"/>
    </row>
    <row r="212" spans="3:13" hidden="1">
      <c r="C212" s="335" t="s">
        <v>367</v>
      </c>
      <c r="D212" s="336">
        <f t="shared" si="78"/>
        <v>7.1999999999999993</v>
      </c>
      <c r="E212" s="337">
        <f t="shared" ref="E212" si="88">+PRODUCT(F212:I212)</f>
        <v>7.1999999999999993</v>
      </c>
      <c r="F212" s="338">
        <v>1</v>
      </c>
      <c r="G212" s="338">
        <f>+G176-2*H171</f>
        <v>3</v>
      </c>
      <c r="H212" s="338">
        <f>+H176-2*H171</f>
        <v>2.4</v>
      </c>
      <c r="I212" s="339"/>
    </row>
    <row r="213" spans="3:13" hidden="1">
      <c r="C213" s="346"/>
      <c r="E213" s="314"/>
      <c r="F213" s="334"/>
      <c r="G213" s="334"/>
      <c r="H213" s="334"/>
      <c r="I213" s="334"/>
    </row>
    <row r="214" spans="3:13" hidden="1">
      <c r="C214" s="335" t="s">
        <v>368</v>
      </c>
      <c r="D214" s="336">
        <f t="shared" si="78"/>
        <v>2.1</v>
      </c>
      <c r="E214" s="337">
        <f t="shared" ref="E214" si="89">+PRODUCT(F214:I214)</f>
        <v>2.1</v>
      </c>
      <c r="F214" s="338">
        <v>1</v>
      </c>
      <c r="G214" s="338">
        <f>+E173</f>
        <v>2.1</v>
      </c>
      <c r="H214" s="338"/>
      <c r="I214" s="339"/>
    </row>
    <row r="215" spans="3:13" hidden="1">
      <c r="C215" s="346"/>
      <c r="E215" s="314"/>
      <c r="F215" s="334"/>
      <c r="G215" s="334"/>
      <c r="H215" s="334"/>
      <c r="I215" s="334"/>
    </row>
    <row r="216" spans="3:13" hidden="1">
      <c r="C216" s="335" t="s">
        <v>369</v>
      </c>
      <c r="D216" s="336">
        <f t="shared" si="78"/>
        <v>1</v>
      </c>
      <c r="E216" s="337">
        <f t="shared" ref="E216" si="90">+PRODUCT(F216:I216)</f>
        <v>1</v>
      </c>
      <c r="F216" s="338">
        <v>1</v>
      </c>
      <c r="G216" s="348">
        <v>1</v>
      </c>
      <c r="H216" s="338"/>
      <c r="I216" s="339"/>
    </row>
    <row r="217" spans="3:13" hidden="1">
      <c r="C217" s="346"/>
      <c r="E217" s="314"/>
      <c r="F217" s="334"/>
      <c r="G217" s="334"/>
      <c r="H217" s="334"/>
      <c r="I217" s="334"/>
    </row>
    <row r="218" spans="3:13" hidden="1">
      <c r="C218" s="335" t="s">
        <v>370</v>
      </c>
      <c r="D218" s="336">
        <f t="shared" si="78"/>
        <v>1</v>
      </c>
      <c r="E218" s="337">
        <f t="shared" ref="E218" si="91">+PRODUCT(F218:I218)</f>
        <v>1</v>
      </c>
      <c r="F218" s="338">
        <v>1</v>
      </c>
      <c r="G218" s="348">
        <v>1</v>
      </c>
      <c r="H218" s="338"/>
      <c r="I218" s="339"/>
    </row>
    <row r="219" spans="3:13" hidden="1"/>
    <row r="221" spans="3:13" s="376" customFormat="1" ht="21">
      <c r="C221" s="372" t="s">
        <v>385</v>
      </c>
      <c r="D221" s="373"/>
      <c r="E221" s="373"/>
      <c r="F221" s="373"/>
      <c r="G221" s="373"/>
      <c r="H221" s="373"/>
      <c r="I221" s="374"/>
      <c r="J221" s="375"/>
    </row>
    <row r="222" spans="3:13">
      <c r="C222" s="316"/>
      <c r="D222" s="314" t="s">
        <v>375</v>
      </c>
      <c r="E222" s="314">
        <v>0.95</v>
      </c>
      <c r="F222" s="314"/>
      <c r="G222" s="314" t="s">
        <v>330</v>
      </c>
      <c r="H222" s="314">
        <v>0.2</v>
      </c>
      <c r="M222" s="312">
        <v>1.84</v>
      </c>
    </row>
    <row r="223" spans="3:13">
      <c r="C223" s="316"/>
      <c r="D223" s="314"/>
      <c r="E223" s="314"/>
      <c r="F223" s="314"/>
      <c r="G223" s="314" t="s">
        <v>332</v>
      </c>
      <c r="H223" s="314">
        <v>0.2</v>
      </c>
      <c r="M223" s="312">
        <v>0.2</v>
      </c>
    </row>
    <row r="224" spans="3:13">
      <c r="C224" s="316"/>
      <c r="D224" s="314" t="s">
        <v>333</v>
      </c>
      <c r="E224" s="314">
        <v>2.9</v>
      </c>
      <c r="F224" s="314"/>
      <c r="G224" s="314" t="s">
        <v>334</v>
      </c>
      <c r="H224" s="314">
        <v>0.2</v>
      </c>
      <c r="M224" s="312">
        <f>+AVERAGE(M222:M223)</f>
        <v>1.02</v>
      </c>
    </row>
    <row r="225" spans="3:17">
      <c r="C225" s="316"/>
      <c r="D225" s="314" t="s">
        <v>335</v>
      </c>
      <c r="E225" s="314">
        <v>2.23</v>
      </c>
      <c r="F225" s="314"/>
      <c r="G225" s="314"/>
      <c r="H225" s="314"/>
    </row>
    <row r="226" spans="3:17">
      <c r="C226" s="316"/>
    </row>
    <row r="227" spans="3:17">
      <c r="F227" s="313" t="s">
        <v>227</v>
      </c>
      <c r="G227" s="313" t="s">
        <v>4</v>
      </c>
      <c r="H227" s="313" t="s">
        <v>226</v>
      </c>
      <c r="I227" s="313" t="s">
        <v>2</v>
      </c>
    </row>
    <row r="228" spans="3:17">
      <c r="C228" s="317" t="s">
        <v>337</v>
      </c>
      <c r="D228" s="318">
        <f>+E228</f>
        <v>2.8352873698647882</v>
      </c>
      <c r="E228" s="319">
        <f>F228*PI()*G228^2</f>
        <v>2.8352873698647882</v>
      </c>
      <c r="F228" s="320">
        <v>1</v>
      </c>
      <c r="G228" s="320">
        <f>+E222</f>
        <v>0.95</v>
      </c>
      <c r="H228" s="320">
        <f>+E223</f>
        <v>0</v>
      </c>
      <c r="I228" s="321"/>
    </row>
    <row r="229" spans="3:17">
      <c r="C229" s="322" t="s">
        <v>338</v>
      </c>
      <c r="D229" s="323">
        <f t="shared" ref="D229" si="92">+E229</f>
        <v>2.8352873698647882</v>
      </c>
      <c r="E229" s="324">
        <f>F229*PI()*G229^2</f>
        <v>2.8352873698647882</v>
      </c>
      <c r="F229" s="325">
        <f t="shared" ref="F229:H230" si="93">+F228</f>
        <v>1</v>
      </c>
      <c r="G229" s="325">
        <f t="shared" si="93"/>
        <v>0.95</v>
      </c>
      <c r="H229" s="325">
        <f t="shared" si="93"/>
        <v>0</v>
      </c>
      <c r="I229" s="326"/>
    </row>
    <row r="230" spans="3:17">
      <c r="C230" s="322" t="s">
        <v>339</v>
      </c>
      <c r="D230" s="323">
        <f>SUM(E230:E232)</f>
        <v>19.155075807100367</v>
      </c>
      <c r="E230" s="324">
        <f>I230*F230*PI()*G230^2</f>
        <v>8.2223333726078849</v>
      </c>
      <c r="F230" s="325">
        <f t="shared" si="93"/>
        <v>1</v>
      </c>
      <c r="G230" s="325">
        <f t="shared" si="93"/>
        <v>0.95</v>
      </c>
      <c r="H230" s="325">
        <f t="shared" si="93"/>
        <v>0</v>
      </c>
      <c r="I230" s="326">
        <f>+E224</f>
        <v>2.9</v>
      </c>
    </row>
    <row r="231" spans="3:17">
      <c r="C231" s="327" t="s">
        <v>340</v>
      </c>
      <c r="D231" s="324"/>
      <c r="E231" s="324">
        <f>I231*F231*PI()*(G231^2-E222^2)</f>
        <v>10.932742434492482</v>
      </c>
      <c r="F231" s="325">
        <v>1</v>
      </c>
      <c r="G231" s="325">
        <f>+G230+0.5</f>
        <v>1.45</v>
      </c>
      <c r="H231" s="325">
        <v>0.5</v>
      </c>
      <c r="I231" s="326">
        <f>+I230</f>
        <v>2.9</v>
      </c>
    </row>
    <row r="232" spans="3:17">
      <c r="C232" s="327"/>
      <c r="D232" s="324"/>
      <c r="E232" s="324">
        <f>I232*F232*PI()*G232^2</f>
        <v>0</v>
      </c>
      <c r="F232" s="325">
        <v>0</v>
      </c>
      <c r="G232" s="325">
        <v>1.55</v>
      </c>
      <c r="H232" s="325"/>
      <c r="I232" s="326">
        <f>+I231</f>
        <v>2.9</v>
      </c>
    </row>
    <row r="233" spans="3:17">
      <c r="C233" s="322" t="s">
        <v>341</v>
      </c>
      <c r="D233" s="323">
        <f>+E233</f>
        <v>2.8352873698647882</v>
      </c>
      <c r="E233" s="324">
        <f>F233*PI()*G233^2</f>
        <v>2.8352873698647882</v>
      </c>
      <c r="F233" s="325">
        <f>+F230</f>
        <v>1</v>
      </c>
      <c r="G233" s="325">
        <f>+G230</f>
        <v>0.95</v>
      </c>
      <c r="H233" s="325">
        <f>+H230</f>
        <v>0</v>
      </c>
      <c r="I233" s="326"/>
    </row>
    <row r="234" spans="3:17">
      <c r="C234" s="322" t="s">
        <v>342</v>
      </c>
      <c r="D234" s="323">
        <f t="shared" ref="D234:D270" si="94">+E234</f>
        <v>10.932742434492482</v>
      </c>
      <c r="E234" s="324">
        <f t="shared" ref="E234:E235" si="95">+PRODUCT(F234:I234)</f>
        <v>10.932742434492482</v>
      </c>
      <c r="F234" s="325">
        <f>+E231</f>
        <v>10.932742434492482</v>
      </c>
      <c r="G234" s="325"/>
      <c r="H234" s="325"/>
      <c r="I234" s="326"/>
    </row>
    <row r="235" spans="3:17">
      <c r="C235" s="328" t="s">
        <v>343</v>
      </c>
      <c r="D235" s="329">
        <f t="shared" si="94"/>
        <v>8.2223333726078849</v>
      </c>
      <c r="E235" s="330">
        <f t="shared" si="95"/>
        <v>8.2223333726078849</v>
      </c>
      <c r="F235" s="331">
        <f>+D230-D234</f>
        <v>8.2223333726078849</v>
      </c>
      <c r="G235" s="331"/>
      <c r="H235" s="331"/>
      <c r="I235" s="332"/>
      <c r="M235" s="312" t="s">
        <v>376</v>
      </c>
      <c r="N235" s="312">
        <f>+E222*2*PI()</f>
        <v>5.9690260418206069</v>
      </c>
    </row>
    <row r="236" spans="3:17">
      <c r="C236" s="333"/>
      <c r="D236" s="310"/>
      <c r="E236" s="314"/>
      <c r="F236" s="334"/>
      <c r="G236" s="334"/>
      <c r="H236" s="334"/>
      <c r="I236" s="334"/>
    </row>
    <row r="237" spans="3:17">
      <c r="C237" s="335" t="s">
        <v>344</v>
      </c>
      <c r="D237" s="336">
        <f t="shared" si="94"/>
        <v>0</v>
      </c>
      <c r="E237" s="337">
        <f t="shared" ref="E237" si="96">+PRODUCT(F237:I237)</f>
        <v>0</v>
      </c>
      <c r="F237" s="338">
        <v>0</v>
      </c>
      <c r="G237" s="338">
        <v>0.3</v>
      </c>
      <c r="H237" s="338">
        <v>0.3</v>
      </c>
      <c r="I237" s="339">
        <v>0.7</v>
      </c>
    </row>
    <row r="238" spans="3:17">
      <c r="C238" s="333"/>
      <c r="D238" s="310"/>
      <c r="E238" s="314"/>
      <c r="F238" s="334"/>
      <c r="G238" s="334"/>
      <c r="H238" s="334"/>
      <c r="I238" s="334"/>
    </row>
    <row r="239" spans="3:17">
      <c r="C239" s="335" t="s">
        <v>345</v>
      </c>
      <c r="D239" s="336">
        <f t="shared" si="94"/>
        <v>0.28352873698647885</v>
      </c>
      <c r="E239" s="319">
        <f>F239*PI()*G239^2*I239</f>
        <v>0.28352873698647885</v>
      </c>
      <c r="F239" s="338">
        <f>+F228</f>
        <v>1</v>
      </c>
      <c r="G239" s="338">
        <f>+G228</f>
        <v>0.95</v>
      </c>
      <c r="H239" s="338">
        <f>+H228</f>
        <v>0</v>
      </c>
      <c r="I239" s="339">
        <v>0.1</v>
      </c>
    </row>
    <row r="240" spans="3:17">
      <c r="C240" s="333"/>
      <c r="D240" s="340"/>
      <c r="F240" s="334"/>
      <c r="G240" s="334"/>
      <c r="H240" s="334"/>
      <c r="I240" s="334"/>
      <c r="K240" s="311" t="s">
        <v>346</v>
      </c>
      <c r="L240" s="309" t="s">
        <v>336</v>
      </c>
      <c r="M240" s="312" t="s">
        <v>347</v>
      </c>
      <c r="N240" s="309" t="s">
        <v>227</v>
      </c>
      <c r="O240" s="309" t="s">
        <v>348</v>
      </c>
      <c r="P240" s="309" t="s">
        <v>349</v>
      </c>
      <c r="Q240" s="309" t="s">
        <v>350</v>
      </c>
    </row>
    <row r="241" spans="3:25">
      <c r="C241" s="317" t="s">
        <v>351</v>
      </c>
      <c r="D241" s="341">
        <f t="shared" si="94"/>
        <v>9.9839999999999998E-2</v>
      </c>
      <c r="E241" s="319">
        <f t="shared" ref="E241:E243" si="97">+PRODUCT(F241:I241)</f>
        <v>9.9839999999999998E-2</v>
      </c>
      <c r="F241" s="320">
        <v>1</v>
      </c>
      <c r="G241" s="342">
        <v>0.52</v>
      </c>
      <c r="H241" s="320">
        <v>0.4</v>
      </c>
      <c r="I241" s="321">
        <v>0.48</v>
      </c>
      <c r="K241" s="312" t="s">
        <v>352</v>
      </c>
      <c r="L241" s="312">
        <f>+G241+0.3*2-0.08</f>
        <v>1.04</v>
      </c>
      <c r="M241" s="351">
        <v>2.4</v>
      </c>
      <c r="N241" s="312">
        <f>ROUND((G241-0.08)/0.15+1,0)</f>
        <v>4</v>
      </c>
      <c r="O241" s="343">
        <v>0.375</v>
      </c>
      <c r="P241" s="312">
        <v>0.56000000000000005</v>
      </c>
      <c r="Q241" s="313">
        <f>+L241*M241*N241*P241</f>
        <v>5.5910400000000005</v>
      </c>
    </row>
    <row r="242" spans="3:25">
      <c r="C242" s="322" t="s">
        <v>353</v>
      </c>
      <c r="D242" s="344">
        <f t="shared" si="94"/>
        <v>1.0752000000000002</v>
      </c>
      <c r="E242" s="324">
        <f t="shared" si="97"/>
        <v>1.0752000000000002</v>
      </c>
      <c r="F242" s="325">
        <v>1</v>
      </c>
      <c r="G242" s="325">
        <f>0.37*2+0.4+0.15*2+0.4*2</f>
        <v>2.2400000000000002</v>
      </c>
      <c r="H242" s="325"/>
      <c r="I242" s="326">
        <v>0.48</v>
      </c>
    </row>
    <row r="243" spans="3:25">
      <c r="C243" s="328" t="s">
        <v>354</v>
      </c>
      <c r="D243" s="345">
        <f t="shared" si="94"/>
        <v>5.5910400000000005</v>
      </c>
      <c r="E243" s="330">
        <f t="shared" si="97"/>
        <v>5.5910400000000005</v>
      </c>
      <c r="F243" s="331">
        <f>+Q241</f>
        <v>5.5910400000000005</v>
      </c>
      <c r="G243" s="331"/>
      <c r="H243" s="331"/>
      <c r="I243" s="332"/>
    </row>
    <row r="244" spans="3:25">
      <c r="C244" s="333"/>
      <c r="D244" s="310"/>
      <c r="E244" s="314"/>
      <c r="F244" s="334"/>
      <c r="G244" s="334"/>
      <c r="H244" s="334"/>
      <c r="I244" s="334"/>
      <c r="K244" s="311" t="s">
        <v>355</v>
      </c>
      <c r="L244" s="309" t="s">
        <v>336</v>
      </c>
      <c r="M244" s="312" t="s">
        <v>347</v>
      </c>
      <c r="N244" s="309" t="s">
        <v>227</v>
      </c>
      <c r="O244" s="309" t="s">
        <v>348</v>
      </c>
      <c r="P244" s="309" t="s">
        <v>349</v>
      </c>
      <c r="Q244" s="309" t="s">
        <v>350</v>
      </c>
    </row>
    <row r="245" spans="3:25">
      <c r="C245" s="317" t="s">
        <v>356</v>
      </c>
      <c r="D245" s="341">
        <f t="shared" si="94"/>
        <v>0.56705747397295769</v>
      </c>
      <c r="E245" s="319">
        <f>I245*F245*PI()*G245^2</f>
        <v>0.56705747397295769</v>
      </c>
      <c r="F245" s="320">
        <v>1</v>
      </c>
      <c r="G245" s="320">
        <f>+E222</f>
        <v>0.95</v>
      </c>
      <c r="H245" s="320">
        <f>+E223</f>
        <v>0</v>
      </c>
      <c r="I245" s="321">
        <f>+H222</f>
        <v>0.2</v>
      </c>
      <c r="K245" s="312" t="s">
        <v>352</v>
      </c>
      <c r="L245" s="312">
        <f>+E222+0.3*2-0.08</f>
        <v>1.4699999999999998</v>
      </c>
      <c r="M245" s="312">
        <v>0</v>
      </c>
      <c r="N245" s="312">
        <f>ROUND((E223-0.08)/0.25+1,0)</f>
        <v>1</v>
      </c>
      <c r="O245" s="343">
        <v>0.375</v>
      </c>
      <c r="P245" s="312">
        <v>0.56000000000000005</v>
      </c>
      <c r="Q245" s="313">
        <f>+L245*M245*N245*P245</f>
        <v>0</v>
      </c>
    </row>
    <row r="246" spans="3:25">
      <c r="C246" s="322" t="s">
        <v>353</v>
      </c>
      <c r="D246" s="344">
        <f t="shared" si="94"/>
        <v>0</v>
      </c>
      <c r="E246" s="324">
        <f t="shared" ref="E246:E247" si="98">+PRODUCT(F246:I246)</f>
        <v>0</v>
      </c>
      <c r="F246" s="325">
        <v>0</v>
      </c>
      <c r="G246" s="325">
        <f>+G245*2+H245*2</f>
        <v>1.9</v>
      </c>
      <c r="H246" s="325"/>
      <c r="I246" s="326">
        <f>+I245</f>
        <v>0.2</v>
      </c>
      <c r="K246" s="312" t="s">
        <v>357</v>
      </c>
      <c r="L246" s="312">
        <f>+E223+0.3*2-0.08</f>
        <v>0.52</v>
      </c>
      <c r="M246" s="312">
        <v>0</v>
      </c>
      <c r="N246" s="312">
        <f>ROUND((E222-0.08)/0.25+1,0)</f>
        <v>4</v>
      </c>
      <c r="O246" s="343">
        <v>0.375</v>
      </c>
      <c r="P246" s="312">
        <v>0.56000000000000005</v>
      </c>
      <c r="Q246" s="313">
        <f>+L246*M246*N246*P246</f>
        <v>0</v>
      </c>
    </row>
    <row r="247" spans="3:25">
      <c r="C247" s="328" t="s">
        <v>354</v>
      </c>
      <c r="D247" s="345">
        <f t="shared" si="94"/>
        <v>0</v>
      </c>
      <c r="E247" s="330">
        <f t="shared" si="98"/>
        <v>0</v>
      </c>
      <c r="F247" s="331">
        <f>+Q247</f>
        <v>0</v>
      </c>
      <c r="G247" s="331"/>
      <c r="H247" s="331"/>
      <c r="I247" s="332"/>
      <c r="Q247" s="310">
        <f>SUM(Q245:Q246)</f>
        <v>0</v>
      </c>
    </row>
    <row r="248" spans="3:25">
      <c r="C248" s="333"/>
      <c r="D248" s="310"/>
      <c r="E248" s="314"/>
      <c r="F248" s="334"/>
      <c r="G248" s="334"/>
      <c r="H248" s="334"/>
      <c r="I248" s="334"/>
    </row>
    <row r="249" spans="3:25">
      <c r="C249" s="317" t="s">
        <v>358</v>
      </c>
      <c r="D249" s="341">
        <f t="shared" si="94"/>
        <v>2.381955549951781</v>
      </c>
      <c r="E249" s="319">
        <f>+F249*2*PI()*G249*H249*I249</f>
        <v>2.381955549951781</v>
      </c>
      <c r="F249" s="320">
        <v>1</v>
      </c>
      <c r="G249" s="320">
        <f>+AVERAGE(E222,(E222-H223))</f>
        <v>0.85</v>
      </c>
      <c r="H249" s="320">
        <f>+H223</f>
        <v>0.2</v>
      </c>
      <c r="I249" s="321">
        <f>+E225</f>
        <v>2.23</v>
      </c>
      <c r="K249" s="311" t="s">
        <v>359</v>
      </c>
      <c r="L249" s="309" t="s">
        <v>336</v>
      </c>
      <c r="M249" s="312" t="s">
        <v>360</v>
      </c>
      <c r="N249" s="309" t="s">
        <v>227</v>
      </c>
      <c r="O249" s="309" t="s">
        <v>348</v>
      </c>
      <c r="P249" s="309" t="s">
        <v>349</v>
      </c>
      <c r="Q249" s="309" t="s">
        <v>350</v>
      </c>
      <c r="S249" s="311"/>
      <c r="T249" s="309"/>
      <c r="V249" s="309"/>
      <c r="W249" s="309"/>
      <c r="X249" s="309"/>
      <c r="Y249" s="309"/>
    </row>
    <row r="250" spans="3:25">
      <c r="C250" s="322" t="s">
        <v>353</v>
      </c>
      <c r="D250" s="344">
        <f>+E250+E251</f>
        <v>11.909777749758906</v>
      </c>
      <c r="E250" s="324">
        <f>+F250*2*PI()*G250*I250</f>
        <v>11.909777749758906</v>
      </c>
      <c r="F250" s="325">
        <v>1</v>
      </c>
      <c r="G250" s="325">
        <f>+G249</f>
        <v>0.85</v>
      </c>
      <c r="H250" s="325"/>
      <c r="I250" s="326">
        <f>+I249</f>
        <v>2.23</v>
      </c>
      <c r="K250" s="312" t="s">
        <v>362</v>
      </c>
      <c r="L250" s="313">
        <f>+N235</f>
        <v>5.9690260418206069</v>
      </c>
      <c r="M250" s="312">
        <v>1</v>
      </c>
      <c r="N250" s="312">
        <f>ROUND((E225-0.08)/0.25+1,0)</f>
        <v>10</v>
      </c>
      <c r="O250" s="343">
        <v>0.375</v>
      </c>
      <c r="P250" s="312">
        <v>0.56000000000000005</v>
      </c>
      <c r="Q250" s="313">
        <f t="shared" ref="Q250:Q251" si="99">+L250*M250*N250*P250</f>
        <v>33.426545834195402</v>
      </c>
      <c r="W250" s="343"/>
      <c r="Y250" s="313"/>
    </row>
    <row r="251" spans="3:25">
      <c r="C251" s="322"/>
      <c r="D251" s="344"/>
      <c r="E251" s="324">
        <f t="shared" ref="E251:E252" si="100">+PRODUCT(F251:I251)</f>
        <v>0</v>
      </c>
      <c r="F251" s="325">
        <v>0</v>
      </c>
      <c r="G251" s="325">
        <f>+(E222-2*H223)*2+(E223-2*H223)*2</f>
        <v>0.29999999999999982</v>
      </c>
      <c r="H251" s="325"/>
      <c r="I251" s="326">
        <f>+I250</f>
        <v>2.23</v>
      </c>
      <c r="K251" s="312" t="s">
        <v>363</v>
      </c>
      <c r="L251" s="313">
        <f>+E225+H224+H222+0.6-0.08</f>
        <v>3.1500000000000004</v>
      </c>
      <c r="M251" s="312">
        <v>1</v>
      </c>
      <c r="N251" s="312">
        <f>ROUND((N235-0.08)/0.25+1,0)</f>
        <v>25</v>
      </c>
      <c r="O251" s="343">
        <v>0.375</v>
      </c>
      <c r="P251" s="312">
        <v>0.56000000000000005</v>
      </c>
      <c r="Q251" s="313">
        <f t="shared" si="99"/>
        <v>44.100000000000016</v>
      </c>
      <c r="W251" s="343"/>
      <c r="Y251" s="313"/>
    </row>
    <row r="252" spans="3:25">
      <c r="C252" s="328" t="s">
        <v>354</v>
      </c>
      <c r="D252" s="345">
        <f t="shared" si="94"/>
        <v>77.526545834195417</v>
      </c>
      <c r="E252" s="330">
        <f t="shared" si="100"/>
        <v>77.526545834195417</v>
      </c>
      <c r="F252" s="331">
        <f>+Q252+Y252</f>
        <v>77.526545834195417</v>
      </c>
      <c r="G252" s="331"/>
      <c r="H252" s="331"/>
      <c r="I252" s="332"/>
      <c r="Q252" s="310">
        <f>SUM(Q250:Q251)</f>
        <v>77.526545834195417</v>
      </c>
      <c r="Y252" s="310"/>
    </row>
    <row r="253" spans="3:25">
      <c r="C253" s="346"/>
      <c r="E253" s="314"/>
      <c r="F253" s="334"/>
      <c r="G253" s="334"/>
      <c r="H253" s="334"/>
      <c r="I253" s="334"/>
    </row>
    <row r="254" spans="3:25">
      <c r="C254" s="317" t="s">
        <v>364</v>
      </c>
      <c r="D254" s="341">
        <f>+E254+E255</f>
        <v>0.19006635554218249</v>
      </c>
      <c r="E254" s="319">
        <f>+E245</f>
        <v>0.56705747397295769</v>
      </c>
      <c r="F254" s="320">
        <v>0</v>
      </c>
      <c r="G254" s="320">
        <f>+G245</f>
        <v>0.95</v>
      </c>
      <c r="H254" s="320"/>
      <c r="I254" s="321">
        <f>+H224</f>
        <v>0.2</v>
      </c>
      <c r="K254" s="311" t="s">
        <v>365</v>
      </c>
      <c r="L254" s="309" t="s">
        <v>377</v>
      </c>
      <c r="M254" s="312" t="s">
        <v>347</v>
      </c>
      <c r="N254" s="309" t="s">
        <v>227</v>
      </c>
      <c r="O254" s="309" t="s">
        <v>348</v>
      </c>
      <c r="P254" s="309" t="s">
        <v>349</v>
      </c>
      <c r="Q254" s="309" t="s">
        <v>350</v>
      </c>
    </row>
    <row r="255" spans="3:25">
      <c r="C255" s="322"/>
      <c r="D255" s="344"/>
      <c r="E255" s="324">
        <f t="shared" ref="E255:E260" si="101">+PRODUCT(F255:I255)</f>
        <v>-0.37699111843077521</v>
      </c>
      <c r="F255" s="325">
        <v>-1</v>
      </c>
      <c r="G255" s="349">
        <f>2*PI()*0.3</f>
        <v>1.8849555921538759</v>
      </c>
      <c r="H255" s="349"/>
      <c r="I255" s="326">
        <f>+I254</f>
        <v>0.2</v>
      </c>
      <c r="K255" s="312" t="s">
        <v>352</v>
      </c>
      <c r="L255" s="350">
        <v>1.05</v>
      </c>
      <c r="M255" s="312">
        <v>1</v>
      </c>
      <c r="N255" s="312">
        <v>13</v>
      </c>
      <c r="O255" s="343">
        <v>0.375</v>
      </c>
      <c r="P255" s="312">
        <v>0.56000000000000005</v>
      </c>
      <c r="Q255" s="313">
        <f>+L255*M255*N255*P255*1.075</f>
        <v>8.2173000000000016</v>
      </c>
    </row>
    <row r="256" spans="3:25">
      <c r="C256" s="322" t="s">
        <v>353</v>
      </c>
      <c r="D256" s="344">
        <f>SUM(E256:E259)</f>
        <v>1.4844025288211773</v>
      </c>
      <c r="E256" s="324">
        <f>+F256*PI()*G256^2</f>
        <v>1.7671458676442586</v>
      </c>
      <c r="F256" s="325">
        <v>1</v>
      </c>
      <c r="G256" s="325">
        <f>+G254-H223</f>
        <v>0.75</v>
      </c>
      <c r="H256" s="325"/>
      <c r="I256" s="326"/>
      <c r="K256" s="312" t="s">
        <v>357</v>
      </c>
      <c r="L256" s="312">
        <v>1.05</v>
      </c>
      <c r="M256" s="312">
        <v>1</v>
      </c>
      <c r="N256" s="312">
        <v>13</v>
      </c>
      <c r="O256" s="343">
        <v>0.375</v>
      </c>
      <c r="P256" s="312">
        <v>0.56000000000000005</v>
      </c>
      <c r="Q256" s="313">
        <f>+L256*M256*N256*P256*1.075</f>
        <v>8.2173000000000016</v>
      </c>
    </row>
    <row r="257" spans="3:25">
      <c r="C257" s="322"/>
      <c r="D257" s="344"/>
      <c r="E257" s="324">
        <f>+F257*PI()*G257^2</f>
        <v>-0.28274333882308139</v>
      </c>
      <c r="F257" s="325">
        <v>-1</v>
      </c>
      <c r="G257" s="325">
        <v>0.3</v>
      </c>
      <c r="H257" s="325"/>
      <c r="I257" s="326"/>
      <c r="L257" s="312">
        <f>+L256</f>
        <v>1.05</v>
      </c>
      <c r="M257" s="312">
        <v>1</v>
      </c>
      <c r="N257" s="312">
        <v>2</v>
      </c>
      <c r="O257" s="343">
        <v>0.5</v>
      </c>
      <c r="P257" s="312">
        <v>0.99</v>
      </c>
      <c r="Q257" s="313">
        <f>+L257*M257*N257*P257*1.075</f>
        <v>2.2349250000000001</v>
      </c>
    </row>
    <row r="258" spans="3:25">
      <c r="C258" s="322"/>
      <c r="D258" s="344"/>
      <c r="E258" s="324">
        <f t="shared" si="101"/>
        <v>0</v>
      </c>
      <c r="F258" s="325">
        <v>1</v>
      </c>
      <c r="G258" s="325">
        <f>+G255*2</f>
        <v>3.7699111843077517</v>
      </c>
      <c r="H258" s="325">
        <f>+H255*2</f>
        <v>0</v>
      </c>
      <c r="I258" s="347">
        <v>0.35</v>
      </c>
      <c r="Q258" s="310">
        <f>SUM(Q255:Q257)</f>
        <v>18.669525000000004</v>
      </c>
    </row>
    <row r="259" spans="3:25">
      <c r="C259" s="322"/>
      <c r="D259" s="344"/>
      <c r="E259" s="324">
        <f t="shared" si="101"/>
        <v>0</v>
      </c>
      <c r="F259" s="325">
        <v>1</v>
      </c>
      <c r="G259" s="325">
        <f>+G258</f>
        <v>3.7699111843077517</v>
      </c>
      <c r="H259" s="325">
        <f>+H258</f>
        <v>0</v>
      </c>
      <c r="I259" s="347">
        <v>0.15</v>
      </c>
    </row>
    <row r="260" spans="3:25">
      <c r="C260" s="328" t="s">
        <v>354</v>
      </c>
      <c r="D260" s="345">
        <f t="shared" si="94"/>
        <v>18.669525000000004</v>
      </c>
      <c r="E260" s="330">
        <f t="shared" si="101"/>
        <v>18.669525000000004</v>
      </c>
      <c r="F260" s="331">
        <f>+Q258</f>
        <v>18.669525000000004</v>
      </c>
      <c r="G260" s="331"/>
      <c r="H260" s="331"/>
      <c r="I260" s="332"/>
    </row>
    <row r="261" spans="3:25">
      <c r="C261" s="346"/>
      <c r="E261" s="314"/>
      <c r="F261" s="334"/>
      <c r="G261" s="334"/>
      <c r="H261" s="334"/>
      <c r="I261" s="334"/>
    </row>
    <row r="262" spans="3:25">
      <c r="C262" s="335" t="s">
        <v>366</v>
      </c>
      <c r="D262" s="336">
        <f t="shared" si="94"/>
        <v>10.508627426257858</v>
      </c>
      <c r="E262" s="337">
        <f>+F262*2*PI()*G262*I262</f>
        <v>10.508627426257858</v>
      </c>
      <c r="F262" s="338">
        <v>1</v>
      </c>
      <c r="G262" s="338">
        <f>+G256</f>
        <v>0.75</v>
      </c>
      <c r="H262" s="338"/>
      <c r="I262" s="339">
        <f>+I249</f>
        <v>2.23</v>
      </c>
    </row>
    <row r="263" spans="3:25">
      <c r="C263" s="346"/>
      <c r="E263" s="314"/>
      <c r="F263" s="334"/>
      <c r="G263" s="334"/>
      <c r="H263" s="334"/>
      <c r="I263" s="334"/>
    </row>
    <row r="264" spans="3:25">
      <c r="C264" s="335" t="s">
        <v>367</v>
      </c>
      <c r="D264" s="336">
        <f t="shared" si="94"/>
        <v>4.7123889803846897</v>
      </c>
      <c r="E264" s="337">
        <f>+F264*2*PI()*G264</f>
        <v>4.7123889803846897</v>
      </c>
      <c r="F264" s="338">
        <v>1</v>
      </c>
      <c r="G264" s="338">
        <f>+G262</f>
        <v>0.75</v>
      </c>
      <c r="H264" s="338"/>
      <c r="I264" s="339"/>
    </row>
    <row r="265" spans="3:25">
      <c r="C265" s="346"/>
      <c r="E265" s="314"/>
      <c r="F265" s="334"/>
      <c r="G265" s="334"/>
      <c r="H265" s="334"/>
      <c r="I265" s="334"/>
    </row>
    <row r="266" spans="3:25">
      <c r="C266" s="335" t="s">
        <v>368</v>
      </c>
      <c r="D266" s="336">
        <f t="shared" si="94"/>
        <v>2.23</v>
      </c>
      <c r="E266" s="337">
        <f t="shared" ref="E266" si="102">+PRODUCT(F266:I266)</f>
        <v>2.23</v>
      </c>
      <c r="F266" s="338">
        <v>1</v>
      </c>
      <c r="G266" s="338">
        <f>+E225</f>
        <v>2.23</v>
      </c>
      <c r="H266" s="338"/>
      <c r="I266" s="339"/>
    </row>
    <row r="267" spans="3:25">
      <c r="C267" s="346"/>
      <c r="E267" s="314"/>
      <c r="F267" s="334"/>
      <c r="G267" s="334"/>
      <c r="H267" s="334"/>
      <c r="I267" s="334"/>
    </row>
    <row r="268" spans="3:25" s="313" customFormat="1">
      <c r="C268" s="335" t="s">
        <v>369</v>
      </c>
      <c r="D268" s="336">
        <f t="shared" si="94"/>
        <v>1</v>
      </c>
      <c r="E268" s="337">
        <f t="shared" ref="E268" si="103">+PRODUCT(F268:I268)</f>
        <v>1</v>
      </c>
      <c r="F268" s="338">
        <v>1</v>
      </c>
      <c r="G268" s="348">
        <v>1</v>
      </c>
      <c r="H268" s="338"/>
      <c r="I268" s="339"/>
      <c r="K268" s="312"/>
      <c r="L268" s="312"/>
      <c r="M268" s="312"/>
      <c r="N268" s="312"/>
      <c r="O268" s="312"/>
      <c r="P268" s="312"/>
      <c r="Q268" s="312"/>
      <c r="R268" s="312"/>
      <c r="S268" s="312"/>
      <c r="T268" s="312"/>
      <c r="U268" s="312"/>
      <c r="V268" s="312"/>
      <c r="W268" s="312"/>
      <c r="X268" s="312"/>
      <c r="Y268" s="312"/>
    </row>
    <row r="269" spans="3:25" s="313" customFormat="1">
      <c r="C269" s="346"/>
      <c r="E269" s="314"/>
      <c r="F269" s="334"/>
      <c r="G269" s="334"/>
      <c r="H269" s="334"/>
      <c r="I269" s="334"/>
      <c r="K269" s="312"/>
      <c r="L269" s="312"/>
      <c r="M269" s="312"/>
      <c r="N269" s="312"/>
      <c r="O269" s="312"/>
      <c r="P269" s="312"/>
      <c r="Q269" s="312"/>
      <c r="R269" s="312"/>
      <c r="S269" s="312"/>
      <c r="T269" s="312"/>
      <c r="U269" s="312"/>
      <c r="V269" s="312"/>
      <c r="W269" s="312"/>
      <c r="X269" s="312"/>
      <c r="Y269" s="312"/>
    </row>
    <row r="270" spans="3:25" s="313" customFormat="1">
      <c r="C270" s="335" t="s">
        <v>370</v>
      </c>
      <c r="D270" s="336">
        <f t="shared" si="94"/>
        <v>1</v>
      </c>
      <c r="E270" s="337">
        <f t="shared" ref="E270" si="104">+PRODUCT(F270:I270)</f>
        <v>1</v>
      </c>
      <c r="F270" s="338">
        <v>1</v>
      </c>
      <c r="G270" s="348">
        <v>1</v>
      </c>
      <c r="H270" s="338"/>
      <c r="I270" s="339"/>
      <c r="K270" s="312"/>
      <c r="L270" s="312"/>
      <c r="M270" s="312"/>
      <c r="N270" s="312"/>
      <c r="O270" s="312"/>
      <c r="P270" s="312"/>
      <c r="Q270" s="312"/>
      <c r="R270" s="312"/>
      <c r="S270" s="312"/>
      <c r="T270" s="312"/>
      <c r="U270" s="312"/>
      <c r="V270" s="312"/>
      <c r="W270" s="312"/>
      <c r="X270" s="312"/>
      <c r="Y270" s="312"/>
    </row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rowBreaks count="2" manualBreakCount="2">
    <brk id="59" min="1" max="9" man="1"/>
    <brk id="220" min="1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331"/>
  <sheetViews>
    <sheetView showGridLines="0" view="pageBreakPreview" topLeftCell="A109" zoomScale="106" zoomScaleNormal="100" zoomScaleSheetLayoutView="106" workbookViewId="0">
      <selection activeCell="H31" sqref="H31"/>
    </sheetView>
  </sheetViews>
  <sheetFormatPr baseColWidth="10" defaultColWidth="11.44140625" defaultRowHeight="12"/>
  <cols>
    <col min="1" max="1" width="4.33203125" style="312" customWidth="1"/>
    <col min="2" max="2" width="2" style="312" customWidth="1"/>
    <col min="3" max="3" width="27.88671875" style="312" customWidth="1"/>
    <col min="4" max="8" width="14.33203125" style="313" customWidth="1"/>
    <col min="9" max="9" width="14.33203125" style="315" customWidth="1"/>
    <col min="10" max="10" width="2.33203125" style="313" customWidth="1"/>
    <col min="11" max="16384" width="11.44140625" style="312"/>
  </cols>
  <sheetData>
    <row r="2" spans="3:9" ht="12.6" thickBot="1"/>
    <row r="3" spans="3:9" ht="23.25" customHeight="1" thickBot="1">
      <c r="C3" s="773" t="s">
        <v>122</v>
      </c>
      <c r="D3" s="774"/>
      <c r="E3" s="774"/>
      <c r="F3" s="774"/>
      <c r="G3" s="774"/>
      <c r="H3" s="774"/>
      <c r="I3" s="775"/>
    </row>
    <row r="4" spans="3:9" ht="23.25" customHeight="1">
      <c r="C4" s="371" t="s">
        <v>123</v>
      </c>
      <c r="D4" s="776" t="s">
        <v>263</v>
      </c>
      <c r="E4" s="776"/>
      <c r="F4" s="776"/>
      <c r="G4" s="776"/>
      <c r="H4" s="776"/>
      <c r="I4" s="777"/>
    </row>
    <row r="5" spans="3:9" ht="23.25" customHeight="1">
      <c r="C5" s="13" t="s">
        <v>131</v>
      </c>
      <c r="D5" s="705" t="s">
        <v>264</v>
      </c>
      <c r="E5" s="705"/>
      <c r="F5" s="705"/>
      <c r="G5" s="705"/>
      <c r="H5" s="705"/>
      <c r="I5" s="706"/>
    </row>
    <row r="6" spans="3:9" ht="23.25" customHeight="1">
      <c r="C6" s="13" t="s">
        <v>125</v>
      </c>
      <c r="D6" s="705" t="s">
        <v>126</v>
      </c>
      <c r="E6" s="705"/>
      <c r="F6" s="705"/>
      <c r="G6" s="705"/>
      <c r="H6" s="705"/>
      <c r="I6" s="706"/>
    </row>
    <row r="7" spans="3:9" ht="23.25" customHeight="1" thickBot="1">
      <c r="C7" s="14" t="s">
        <v>127</v>
      </c>
      <c r="D7" s="778" t="s">
        <v>265</v>
      </c>
      <c r="E7" s="778"/>
      <c r="F7" s="778"/>
      <c r="G7" s="778"/>
      <c r="H7" s="778"/>
      <c r="I7" s="779"/>
    </row>
    <row r="9" spans="3:9" s="375" customFormat="1" ht="21">
      <c r="C9" s="372" t="s">
        <v>386</v>
      </c>
      <c r="D9" s="373"/>
      <c r="E9" s="373"/>
      <c r="F9" s="373"/>
      <c r="G9" s="373"/>
      <c r="H9" s="373"/>
      <c r="I9" s="374"/>
    </row>
    <row r="10" spans="3:9" s="313" customFormat="1">
      <c r="C10" s="316"/>
      <c r="D10" s="314" t="s">
        <v>329</v>
      </c>
      <c r="E10" s="314">
        <v>2.6</v>
      </c>
      <c r="F10" s="314"/>
      <c r="G10" s="314" t="s">
        <v>330</v>
      </c>
      <c r="H10" s="314">
        <v>0.2</v>
      </c>
      <c r="I10" s="315"/>
    </row>
    <row r="11" spans="3:9" s="313" customFormat="1">
      <c r="C11" s="316"/>
      <c r="D11" s="314" t="s">
        <v>331</v>
      </c>
      <c r="E11" s="314">
        <v>2</v>
      </c>
      <c r="F11" s="314"/>
      <c r="G11" s="314" t="s">
        <v>332</v>
      </c>
      <c r="H11" s="314">
        <v>0.2</v>
      </c>
      <c r="I11" s="315"/>
    </row>
    <row r="12" spans="3:9" s="313" customFormat="1">
      <c r="C12" s="316"/>
      <c r="D12" s="314" t="s">
        <v>333</v>
      </c>
      <c r="E12" s="314">
        <f>+E13+0.6</f>
        <v>1.77</v>
      </c>
      <c r="F12" s="314"/>
      <c r="G12" s="314" t="s">
        <v>334</v>
      </c>
      <c r="H12" s="314">
        <v>0.2</v>
      </c>
      <c r="I12" s="315"/>
    </row>
    <row r="13" spans="3:9" s="313" customFormat="1">
      <c r="C13" s="316"/>
      <c r="D13" s="314" t="s">
        <v>335</v>
      </c>
      <c r="E13" s="314">
        <v>1.17</v>
      </c>
      <c r="F13" s="314"/>
      <c r="G13" s="314"/>
      <c r="H13" s="314"/>
      <c r="I13" s="315"/>
    </row>
    <row r="14" spans="3:9" s="313" customFormat="1">
      <c r="C14" s="316"/>
      <c r="I14" s="315"/>
    </row>
    <row r="15" spans="3:9" s="313" customFormat="1">
      <c r="C15" s="312"/>
      <c r="F15" s="313" t="s">
        <v>227</v>
      </c>
      <c r="G15" s="313" t="s">
        <v>336</v>
      </c>
      <c r="H15" s="313" t="s">
        <v>226</v>
      </c>
      <c r="I15" s="313" t="s">
        <v>2</v>
      </c>
    </row>
    <row r="16" spans="3:9">
      <c r="C16" s="317" t="s">
        <v>337</v>
      </c>
      <c r="D16" s="318">
        <f>+E16</f>
        <v>5.2</v>
      </c>
      <c r="E16" s="319">
        <f>+PRODUCT(F16:I16)</f>
        <v>5.2</v>
      </c>
      <c r="F16" s="320">
        <v>1</v>
      </c>
      <c r="G16" s="320">
        <f>+E10</f>
        <v>2.6</v>
      </c>
      <c r="H16" s="320">
        <f>+E11</f>
        <v>2</v>
      </c>
      <c r="I16" s="321"/>
    </row>
    <row r="17" spans="3:17">
      <c r="C17" s="322" t="s">
        <v>338</v>
      </c>
      <c r="D17" s="323">
        <f t="shared" ref="D17" si="0">+E17</f>
        <v>5.2</v>
      </c>
      <c r="E17" s="324">
        <f t="shared" ref="E17:E23" si="1">+PRODUCT(F17:I17)</f>
        <v>5.2</v>
      </c>
      <c r="F17" s="325">
        <f t="shared" ref="F17:H18" si="2">+F16</f>
        <v>1</v>
      </c>
      <c r="G17" s="325">
        <f t="shared" si="2"/>
        <v>2.6</v>
      </c>
      <c r="H17" s="325">
        <f t="shared" si="2"/>
        <v>2</v>
      </c>
      <c r="I17" s="326"/>
    </row>
    <row r="18" spans="3:17">
      <c r="C18" s="322" t="s">
        <v>339</v>
      </c>
      <c r="D18" s="323">
        <f>SUM(E18:E20)</f>
        <v>9.2940000000000005</v>
      </c>
      <c r="E18" s="324">
        <f t="shared" si="1"/>
        <v>9.2040000000000006</v>
      </c>
      <c r="F18" s="325">
        <f t="shared" si="2"/>
        <v>1</v>
      </c>
      <c r="G18" s="325">
        <f t="shared" si="2"/>
        <v>2.6</v>
      </c>
      <c r="H18" s="325">
        <f t="shared" si="2"/>
        <v>2</v>
      </c>
      <c r="I18" s="326">
        <f>+E12</f>
        <v>1.77</v>
      </c>
    </row>
    <row r="19" spans="3:17">
      <c r="C19" s="327" t="s">
        <v>340</v>
      </c>
      <c r="D19" s="324"/>
      <c r="E19" s="324">
        <f t="shared" si="1"/>
        <v>0</v>
      </c>
      <c r="F19" s="325">
        <v>0</v>
      </c>
      <c r="G19" s="325">
        <f>+(G18*2+1.2)+H18*2</f>
        <v>10.4</v>
      </c>
      <c r="H19" s="325">
        <v>0.6</v>
      </c>
      <c r="I19" s="326">
        <f>+I18</f>
        <v>1.77</v>
      </c>
    </row>
    <row r="20" spans="3:17">
      <c r="C20" s="327"/>
      <c r="D20" s="324"/>
      <c r="E20" s="324">
        <f t="shared" si="1"/>
        <v>0.09</v>
      </c>
      <c r="F20" s="325">
        <v>1</v>
      </c>
      <c r="G20" s="325">
        <v>0.3</v>
      </c>
      <c r="H20" s="325">
        <v>0.3</v>
      </c>
      <c r="I20" s="326">
        <v>1</v>
      </c>
    </row>
    <row r="21" spans="3:17">
      <c r="C21" s="322" t="s">
        <v>341</v>
      </c>
      <c r="D21" s="323">
        <f>+E21</f>
        <v>5.2</v>
      </c>
      <c r="E21" s="324">
        <f t="shared" si="1"/>
        <v>5.2</v>
      </c>
      <c r="F21" s="325">
        <f>+F18</f>
        <v>1</v>
      </c>
      <c r="G21" s="325">
        <f>+G18</f>
        <v>2.6</v>
      </c>
      <c r="H21" s="325">
        <f>+H18</f>
        <v>2</v>
      </c>
      <c r="I21" s="326"/>
    </row>
    <row r="22" spans="3:17">
      <c r="C22" s="322" t="s">
        <v>342</v>
      </c>
      <c r="D22" s="323">
        <f t="shared" ref="D22:D60" si="3">+E22</f>
        <v>0</v>
      </c>
      <c r="E22" s="324">
        <f t="shared" si="1"/>
        <v>0</v>
      </c>
      <c r="F22" s="325">
        <f>+E19</f>
        <v>0</v>
      </c>
      <c r="G22" s="325"/>
      <c r="H22" s="325"/>
      <c r="I22" s="326"/>
    </row>
    <row r="23" spans="3:17">
      <c r="C23" s="328" t="s">
        <v>343</v>
      </c>
      <c r="D23" s="329">
        <f t="shared" si="3"/>
        <v>9.2940000000000005</v>
      </c>
      <c r="E23" s="330">
        <f t="shared" si="1"/>
        <v>9.2940000000000005</v>
      </c>
      <c r="F23" s="331">
        <f>+D18-D22</f>
        <v>9.2940000000000005</v>
      </c>
      <c r="G23" s="331"/>
      <c r="H23" s="331"/>
      <c r="I23" s="332"/>
    </row>
    <row r="24" spans="3:17">
      <c r="C24" s="333"/>
      <c r="D24" s="310"/>
      <c r="E24" s="314"/>
      <c r="F24" s="334"/>
      <c r="G24" s="334"/>
      <c r="H24" s="334"/>
      <c r="I24" s="334"/>
    </row>
    <row r="25" spans="3:17">
      <c r="C25" s="335" t="s">
        <v>344</v>
      </c>
      <c r="D25" s="336">
        <f t="shared" si="3"/>
        <v>6.3E-2</v>
      </c>
      <c r="E25" s="337">
        <f t="shared" ref="E25" si="4">+PRODUCT(F25:I25)</f>
        <v>6.3E-2</v>
      </c>
      <c r="F25" s="338">
        <v>1</v>
      </c>
      <c r="G25" s="338">
        <v>0.3</v>
      </c>
      <c r="H25" s="338">
        <v>0.3</v>
      </c>
      <c r="I25" s="339">
        <v>0.7</v>
      </c>
    </row>
    <row r="26" spans="3:17">
      <c r="C26" s="333"/>
      <c r="D26" s="310"/>
      <c r="E26" s="314"/>
      <c r="F26" s="334"/>
      <c r="G26" s="334"/>
      <c r="H26" s="334"/>
      <c r="I26" s="334"/>
    </row>
    <row r="27" spans="3:17">
      <c r="C27" s="335" t="s">
        <v>345</v>
      </c>
      <c r="D27" s="336">
        <f t="shared" si="3"/>
        <v>0.52</v>
      </c>
      <c r="E27" s="337">
        <f t="shared" ref="E27" si="5">+PRODUCT(F27:I27)</f>
        <v>0.52</v>
      </c>
      <c r="F27" s="338">
        <f>+F16</f>
        <v>1</v>
      </c>
      <c r="G27" s="338">
        <f>+G16</f>
        <v>2.6</v>
      </c>
      <c r="H27" s="338">
        <f>+H16</f>
        <v>2</v>
      </c>
      <c r="I27" s="339">
        <v>0.1</v>
      </c>
    </row>
    <row r="28" spans="3:17">
      <c r="C28" s="333"/>
      <c r="D28" s="340"/>
      <c r="F28" s="334"/>
      <c r="G28" s="334"/>
      <c r="H28" s="334"/>
      <c r="I28" s="334"/>
      <c r="K28" s="311" t="s">
        <v>346</v>
      </c>
      <c r="L28" s="309" t="s">
        <v>336</v>
      </c>
      <c r="M28" s="312" t="s">
        <v>347</v>
      </c>
      <c r="N28" s="309" t="s">
        <v>227</v>
      </c>
      <c r="O28" s="309" t="s">
        <v>348</v>
      </c>
      <c r="P28" s="309" t="s">
        <v>349</v>
      </c>
      <c r="Q28" s="309" t="s">
        <v>350</v>
      </c>
    </row>
    <row r="29" spans="3:17">
      <c r="C29" s="317" t="s">
        <v>351</v>
      </c>
      <c r="D29" s="341">
        <f t="shared" si="3"/>
        <v>5.4450000000000005E-2</v>
      </c>
      <c r="E29" s="319">
        <f t="shared" ref="E29:E31" si="6">+PRODUCT(F29:I29)</f>
        <v>5.4450000000000005E-2</v>
      </c>
      <c r="F29" s="320">
        <v>1</v>
      </c>
      <c r="G29" s="342">
        <v>0.55000000000000004</v>
      </c>
      <c r="H29" s="320">
        <v>0.22</v>
      </c>
      <c r="I29" s="321">
        <v>0.45</v>
      </c>
      <c r="K29" s="312" t="s">
        <v>352</v>
      </c>
      <c r="L29" s="312">
        <f>+G29+0.3*2-0.08</f>
        <v>1.0699999999999998</v>
      </c>
      <c r="M29" s="312">
        <v>2</v>
      </c>
      <c r="N29" s="312">
        <f>ROUND((G29-0.08)/0.15+1,0)</f>
        <v>4</v>
      </c>
      <c r="O29" s="343">
        <v>0.375</v>
      </c>
      <c r="P29" s="312">
        <v>0.56000000000000005</v>
      </c>
      <c r="Q29" s="313">
        <f>+L29*M29*N29*P29</f>
        <v>4.7935999999999996</v>
      </c>
    </row>
    <row r="30" spans="3:17">
      <c r="C30" s="322" t="s">
        <v>353</v>
      </c>
      <c r="D30" s="344">
        <f t="shared" si="3"/>
        <v>0.73919999999999997</v>
      </c>
      <c r="E30" s="324">
        <f t="shared" si="6"/>
        <v>0.73919999999999997</v>
      </c>
      <c r="F30" s="325">
        <v>1</v>
      </c>
      <c r="G30" s="325">
        <f>+G29*2+H29*2</f>
        <v>1.54</v>
      </c>
      <c r="H30" s="325"/>
      <c r="I30" s="326">
        <v>0.48</v>
      </c>
    </row>
    <row r="31" spans="3:17">
      <c r="C31" s="328" t="s">
        <v>354</v>
      </c>
      <c r="D31" s="345">
        <f t="shared" si="3"/>
        <v>4.7935999999999996</v>
      </c>
      <c r="E31" s="330">
        <f t="shared" si="6"/>
        <v>4.7935999999999996</v>
      </c>
      <c r="F31" s="331">
        <f>+Q29</f>
        <v>4.7935999999999996</v>
      </c>
      <c r="G31" s="331"/>
      <c r="H31" s="331"/>
      <c r="I31" s="332"/>
    </row>
    <row r="32" spans="3:17">
      <c r="C32" s="333"/>
      <c r="D32" s="310"/>
      <c r="E32" s="314"/>
      <c r="F32" s="334"/>
      <c r="G32" s="334"/>
      <c r="H32" s="334"/>
      <c r="I32" s="334"/>
      <c r="K32" s="311" t="s">
        <v>355</v>
      </c>
      <c r="L32" s="309" t="s">
        <v>336</v>
      </c>
      <c r="M32" s="312" t="s">
        <v>347</v>
      </c>
      <c r="N32" s="309" t="s">
        <v>227</v>
      </c>
      <c r="O32" s="309" t="s">
        <v>348</v>
      </c>
      <c r="P32" s="309" t="s">
        <v>349</v>
      </c>
      <c r="Q32" s="309" t="s">
        <v>350</v>
      </c>
    </row>
    <row r="33" spans="3:25">
      <c r="C33" s="317" t="s">
        <v>356</v>
      </c>
      <c r="D33" s="341">
        <f t="shared" si="3"/>
        <v>1.04</v>
      </c>
      <c r="E33" s="319">
        <f t="shared" ref="E33:E35" si="7">+PRODUCT(F33:I33)</f>
        <v>1.04</v>
      </c>
      <c r="F33" s="320">
        <v>1</v>
      </c>
      <c r="G33" s="320">
        <f>+E10</f>
        <v>2.6</v>
      </c>
      <c r="H33" s="320">
        <f>+E11</f>
        <v>2</v>
      </c>
      <c r="I33" s="321">
        <f>+H10</f>
        <v>0.2</v>
      </c>
      <c r="K33" s="312" t="s">
        <v>352</v>
      </c>
      <c r="L33" s="312">
        <f>+E10+0.3*2-0.08</f>
        <v>3.12</v>
      </c>
      <c r="M33" s="312">
        <v>2</v>
      </c>
      <c r="N33" s="312">
        <f>ROUND((E11-0.08)/0.25+1,0)</f>
        <v>9</v>
      </c>
      <c r="O33" s="343">
        <v>0.375</v>
      </c>
      <c r="P33" s="312">
        <v>0.56000000000000005</v>
      </c>
      <c r="Q33" s="313">
        <f>+L33*M33*N33*P33</f>
        <v>31.449600000000004</v>
      </c>
    </row>
    <row r="34" spans="3:25">
      <c r="C34" s="322" t="s">
        <v>353</v>
      </c>
      <c r="D34" s="344">
        <f t="shared" si="3"/>
        <v>0</v>
      </c>
      <c r="E34" s="324">
        <f t="shared" si="7"/>
        <v>0</v>
      </c>
      <c r="F34" s="325">
        <v>0</v>
      </c>
      <c r="G34" s="325">
        <f>+G33*2+H33*2</f>
        <v>9.1999999999999993</v>
      </c>
      <c r="H34" s="325"/>
      <c r="I34" s="326">
        <f>+I33</f>
        <v>0.2</v>
      </c>
      <c r="K34" s="312" t="s">
        <v>357</v>
      </c>
      <c r="L34" s="312">
        <f>+E11+0.3*2-0.08</f>
        <v>2.52</v>
      </c>
      <c r="M34" s="312">
        <v>2</v>
      </c>
      <c r="N34" s="312">
        <f>ROUND((E10-0.08)/0.25+1,0)</f>
        <v>11</v>
      </c>
      <c r="O34" s="343">
        <v>0.375</v>
      </c>
      <c r="P34" s="312">
        <v>0.56000000000000005</v>
      </c>
      <c r="Q34" s="313">
        <f>+L34*M34*N34*P34</f>
        <v>31.046400000000002</v>
      </c>
    </row>
    <row r="35" spans="3:25">
      <c r="C35" s="328" t="s">
        <v>354</v>
      </c>
      <c r="D35" s="345">
        <f t="shared" si="3"/>
        <v>62.496000000000009</v>
      </c>
      <c r="E35" s="330">
        <f t="shared" si="7"/>
        <v>62.496000000000009</v>
      </c>
      <c r="F35" s="331">
        <f>+Q35</f>
        <v>62.496000000000009</v>
      </c>
      <c r="G35" s="331"/>
      <c r="H35" s="331"/>
      <c r="I35" s="332"/>
      <c r="Q35" s="310">
        <f>SUM(Q33:Q34)</f>
        <v>62.496000000000009</v>
      </c>
    </row>
    <row r="36" spans="3:25">
      <c r="C36" s="333"/>
      <c r="D36" s="310"/>
      <c r="E36" s="314"/>
      <c r="F36" s="334"/>
      <c r="G36" s="334"/>
      <c r="H36" s="334"/>
      <c r="I36" s="334"/>
    </row>
    <row r="37" spans="3:25">
      <c r="C37" s="317" t="s">
        <v>358</v>
      </c>
      <c r="D37" s="341">
        <f t="shared" si="3"/>
        <v>1.9656</v>
      </c>
      <c r="E37" s="319">
        <f t="shared" ref="E37:E40" si="8">+PRODUCT(F37:I37)</f>
        <v>1.9656</v>
      </c>
      <c r="F37" s="320">
        <v>1</v>
      </c>
      <c r="G37" s="320">
        <f>+E10*2+(E11-2*H11)*2</f>
        <v>8.4</v>
      </c>
      <c r="H37" s="320">
        <f>+H11</f>
        <v>0.2</v>
      </c>
      <c r="I37" s="321">
        <f>+E13</f>
        <v>1.17</v>
      </c>
      <c r="K37" s="311" t="s">
        <v>359</v>
      </c>
      <c r="L37" s="309" t="s">
        <v>336</v>
      </c>
      <c r="M37" s="312" t="s">
        <v>360</v>
      </c>
      <c r="N37" s="309" t="s">
        <v>227</v>
      </c>
      <c r="O37" s="309" t="s">
        <v>348</v>
      </c>
      <c r="P37" s="309" t="s">
        <v>349</v>
      </c>
      <c r="Q37" s="309" t="s">
        <v>350</v>
      </c>
      <c r="S37" s="311" t="s">
        <v>361</v>
      </c>
      <c r="T37" s="309" t="s">
        <v>336</v>
      </c>
      <c r="U37" s="312" t="s">
        <v>360</v>
      </c>
      <c r="V37" s="309" t="s">
        <v>227</v>
      </c>
      <c r="W37" s="309" t="s">
        <v>348</v>
      </c>
      <c r="X37" s="309" t="s">
        <v>349</v>
      </c>
      <c r="Y37" s="309" t="s">
        <v>350</v>
      </c>
    </row>
    <row r="38" spans="3:25">
      <c r="C38" s="322" t="s">
        <v>353</v>
      </c>
      <c r="D38" s="344">
        <f>+E38+E39</f>
        <v>19.655999999999999</v>
      </c>
      <c r="E38" s="324">
        <f t="shared" si="8"/>
        <v>10.763999999999999</v>
      </c>
      <c r="F38" s="325">
        <v>1</v>
      </c>
      <c r="G38" s="325">
        <f>+(E10+E11)*2</f>
        <v>9.1999999999999993</v>
      </c>
      <c r="H38" s="325"/>
      <c r="I38" s="326">
        <f>+I37</f>
        <v>1.17</v>
      </c>
      <c r="K38" s="312" t="s">
        <v>362</v>
      </c>
      <c r="L38" s="312">
        <f>+E10+0.3*2-0.08</f>
        <v>3.12</v>
      </c>
      <c r="M38" s="312">
        <f>2+2</f>
        <v>4</v>
      </c>
      <c r="N38" s="312">
        <f>ROUND((E13-0.08)/0.25+1,0)</f>
        <v>5</v>
      </c>
      <c r="O38" s="343">
        <v>0.375</v>
      </c>
      <c r="P38" s="312">
        <v>0.56000000000000005</v>
      </c>
      <c r="Q38" s="313">
        <f t="shared" ref="Q38:Q39" si="9">+L38*M38*N38*P38</f>
        <v>34.94400000000001</v>
      </c>
      <c r="S38" s="312" t="s">
        <v>362</v>
      </c>
      <c r="T38" s="312">
        <f>+E11+0.3*2-0.08</f>
        <v>2.52</v>
      </c>
      <c r="U38" s="312">
        <f>2+2</f>
        <v>4</v>
      </c>
      <c r="V38" s="312">
        <f>ROUND((E13-0.08)/0.25+1,0)</f>
        <v>5</v>
      </c>
      <c r="W38" s="343">
        <v>0.375</v>
      </c>
      <c r="X38" s="312">
        <v>0.56000000000000005</v>
      </c>
      <c r="Y38" s="313">
        <f t="shared" ref="Y38:Y39" si="10">+T38*U38*V38*X38</f>
        <v>28.224</v>
      </c>
    </row>
    <row r="39" spans="3:25">
      <c r="C39" s="322"/>
      <c r="D39" s="344"/>
      <c r="E39" s="324">
        <f t="shared" si="8"/>
        <v>8.8919999999999995</v>
      </c>
      <c r="F39" s="325">
        <v>1</v>
      </c>
      <c r="G39" s="325">
        <f>+(E10-2*H11)*2+(E11-2*H11)*2</f>
        <v>7.6000000000000005</v>
      </c>
      <c r="H39" s="325"/>
      <c r="I39" s="326">
        <f>+I38</f>
        <v>1.17</v>
      </c>
      <c r="K39" s="312" t="s">
        <v>363</v>
      </c>
      <c r="L39" s="312">
        <f>+E13+0.3*2-0.04+H12+H10</f>
        <v>2.13</v>
      </c>
      <c r="M39" s="312">
        <f>2+2</f>
        <v>4</v>
      </c>
      <c r="N39" s="312">
        <f>ROUND((E10-0.08)/0.25+1,0)</f>
        <v>11</v>
      </c>
      <c r="O39" s="343">
        <v>0.375</v>
      </c>
      <c r="P39" s="312">
        <v>0.56000000000000005</v>
      </c>
      <c r="Q39" s="313">
        <f t="shared" si="9"/>
        <v>52.483200000000004</v>
      </c>
      <c r="S39" s="312" t="s">
        <v>363</v>
      </c>
      <c r="T39" s="312">
        <f>+E13+0.3*2-0.04+H12+H10</f>
        <v>2.13</v>
      </c>
      <c r="U39" s="312">
        <f>2+2</f>
        <v>4</v>
      </c>
      <c r="V39" s="312">
        <f>ROUND((E11-0.08)/0.25+1,0)</f>
        <v>9</v>
      </c>
      <c r="W39" s="343">
        <v>0.375</v>
      </c>
      <c r="X39" s="312">
        <v>0.56000000000000005</v>
      </c>
      <c r="Y39" s="313">
        <f t="shared" si="10"/>
        <v>42.940800000000003</v>
      </c>
    </row>
    <row r="40" spans="3:25">
      <c r="C40" s="328" t="s">
        <v>354</v>
      </c>
      <c r="D40" s="345">
        <f t="shared" si="3"/>
        <v>158.59200000000001</v>
      </c>
      <c r="E40" s="330">
        <f t="shared" si="8"/>
        <v>158.59200000000001</v>
      </c>
      <c r="F40" s="331">
        <f>+Q40+Y40</f>
        <v>158.59200000000001</v>
      </c>
      <c r="G40" s="331"/>
      <c r="H40" s="331"/>
      <c r="I40" s="332"/>
      <c r="Q40" s="310">
        <f>SUM(Q38:Q39)</f>
        <v>87.427200000000013</v>
      </c>
      <c r="Y40" s="310">
        <f>SUM(Y38:Y39)</f>
        <v>71.1648</v>
      </c>
    </row>
    <row r="41" spans="3:25">
      <c r="C41" s="346"/>
      <c r="E41" s="314"/>
      <c r="F41" s="334"/>
      <c r="G41" s="334"/>
      <c r="H41" s="334"/>
      <c r="I41" s="334"/>
    </row>
    <row r="42" spans="3:25">
      <c r="C42" s="317" t="s">
        <v>364</v>
      </c>
      <c r="D42" s="341">
        <f>+E42+E43</f>
        <v>0.98345133223538372</v>
      </c>
      <c r="E42" s="319">
        <f t="shared" ref="E42:E48" si="11">+PRODUCT(F42:I42)</f>
        <v>1.04</v>
      </c>
      <c r="F42" s="320">
        <v>1</v>
      </c>
      <c r="G42" s="320">
        <f>+G33</f>
        <v>2.6</v>
      </c>
      <c r="H42" s="320">
        <f>+H33</f>
        <v>2</v>
      </c>
      <c r="I42" s="321">
        <f>+H12</f>
        <v>0.2</v>
      </c>
      <c r="K42" s="311" t="s">
        <v>365</v>
      </c>
      <c r="L42" s="309" t="s">
        <v>336</v>
      </c>
      <c r="M42" s="312" t="s">
        <v>347</v>
      </c>
      <c r="N42" s="309" t="s">
        <v>227</v>
      </c>
      <c r="O42" s="309" t="s">
        <v>348</v>
      </c>
      <c r="P42" s="309" t="s">
        <v>349</v>
      </c>
      <c r="Q42" s="309" t="s">
        <v>350</v>
      </c>
    </row>
    <row r="43" spans="3:25">
      <c r="C43" s="322"/>
      <c r="D43" s="344"/>
      <c r="E43" s="324">
        <f t="shared" si="11"/>
        <v>-5.6548667764616284E-2</v>
      </c>
      <c r="F43" s="325">
        <v>-1</v>
      </c>
      <c r="G43" s="325">
        <f>+PI()*0.3^2</f>
        <v>0.28274333882308139</v>
      </c>
      <c r="H43" s="325"/>
      <c r="I43" s="326">
        <f>+I42</f>
        <v>0.2</v>
      </c>
      <c r="K43" s="312" t="s">
        <v>352</v>
      </c>
      <c r="L43" s="312">
        <f>+E10+0.3*2-0.08</f>
        <v>3.12</v>
      </c>
      <c r="M43" s="312">
        <v>2</v>
      </c>
      <c r="N43" s="312">
        <f>ROUND((E11-0.08)/0.25+1,0)</f>
        <v>9</v>
      </c>
      <c r="O43" s="343">
        <v>0.375</v>
      </c>
      <c r="P43" s="312">
        <v>0.56000000000000005</v>
      </c>
      <c r="Q43" s="313">
        <f>+L43*M43*N43*P43*1.05</f>
        <v>33.022080000000003</v>
      </c>
    </row>
    <row r="44" spans="3:25">
      <c r="C44" s="322" t="s">
        <v>353</v>
      </c>
      <c r="D44" s="344">
        <f>SUM(E44:E47)</f>
        <v>4.273982236861551</v>
      </c>
      <c r="E44" s="324">
        <f t="shared" si="11"/>
        <v>3.5200000000000005</v>
      </c>
      <c r="F44" s="325">
        <v>1</v>
      </c>
      <c r="G44" s="325">
        <f>+G42-0.4</f>
        <v>2.2000000000000002</v>
      </c>
      <c r="H44" s="325">
        <f>+H42-0.4</f>
        <v>1.6</v>
      </c>
      <c r="I44" s="326"/>
      <c r="K44" s="312" t="s">
        <v>357</v>
      </c>
      <c r="L44" s="312">
        <f>+E11+0.3*2-0.08</f>
        <v>2.52</v>
      </c>
      <c r="M44" s="312">
        <v>2</v>
      </c>
      <c r="N44" s="312">
        <f>ROUND((E10-0.08)/0.25+1,0)</f>
        <v>11</v>
      </c>
      <c r="O44" s="343">
        <v>0.375</v>
      </c>
      <c r="P44" s="312">
        <v>0.56000000000000005</v>
      </c>
      <c r="Q44" s="313">
        <f>+L44*M44*N44*P44*1.05</f>
        <v>32.59872</v>
      </c>
    </row>
    <row r="45" spans="3:25">
      <c r="C45" s="322"/>
      <c r="D45" s="344"/>
      <c r="E45" s="324">
        <f t="shared" si="11"/>
        <v>-0.28274333882308139</v>
      </c>
      <c r="F45" s="325">
        <v>-1</v>
      </c>
      <c r="G45" s="325">
        <f>+G43</f>
        <v>0.28274333882308139</v>
      </c>
      <c r="H45" s="325"/>
      <c r="I45" s="326"/>
      <c r="Q45" s="310">
        <f>SUM(Q43:Q44)</f>
        <v>65.620800000000003</v>
      </c>
    </row>
    <row r="46" spans="3:25">
      <c r="C46" s="322"/>
      <c r="D46" s="344"/>
      <c r="E46" s="324">
        <f t="shared" si="11"/>
        <v>0.56548667764616289</v>
      </c>
      <c r="F46" s="325">
        <v>1</v>
      </c>
      <c r="G46" s="325">
        <f>2*PI()*0.3</f>
        <v>1.8849555921538759</v>
      </c>
      <c r="H46" s="325"/>
      <c r="I46" s="326">
        <f>+E12-E13-H10-0.1</f>
        <v>0.30000000000000004</v>
      </c>
    </row>
    <row r="47" spans="3:25">
      <c r="C47" s="322"/>
      <c r="D47" s="344"/>
      <c r="E47" s="324">
        <f t="shared" si="11"/>
        <v>0.47123889803846897</v>
      </c>
      <c r="F47" s="325">
        <v>1</v>
      </c>
      <c r="G47" s="325">
        <f>2*PI()*0.5</f>
        <v>3.1415926535897931</v>
      </c>
      <c r="H47" s="325"/>
      <c r="I47" s="347">
        <v>0.15</v>
      </c>
    </row>
    <row r="48" spans="3:25" s="313" customFormat="1">
      <c r="C48" s="328" t="s">
        <v>354</v>
      </c>
      <c r="D48" s="345">
        <f t="shared" si="3"/>
        <v>65.620800000000003</v>
      </c>
      <c r="E48" s="330">
        <f t="shared" si="11"/>
        <v>65.620800000000003</v>
      </c>
      <c r="F48" s="331">
        <f>+Q45</f>
        <v>65.620800000000003</v>
      </c>
      <c r="G48" s="331"/>
      <c r="H48" s="331"/>
      <c r="I48" s="332"/>
      <c r="K48" s="312"/>
      <c r="L48" s="312"/>
      <c r="M48" s="312"/>
      <c r="N48" s="312"/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</row>
    <row r="49" spans="3:25" s="313" customFormat="1">
      <c r="C49" s="346"/>
      <c r="E49" s="314"/>
      <c r="F49" s="334"/>
      <c r="G49" s="334"/>
      <c r="H49" s="334"/>
      <c r="I49" s="334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</row>
    <row r="50" spans="3:25" s="313" customFormat="1">
      <c r="C50" s="317" t="s">
        <v>366</v>
      </c>
      <c r="D50" s="341">
        <f>+SUM(E50:E52)</f>
        <v>15.649256661176917</v>
      </c>
      <c r="E50" s="319">
        <f t="shared" ref="E50:E52" si="12">+PRODUCT(F50:I50)</f>
        <v>8.8919999999999995</v>
      </c>
      <c r="F50" s="320">
        <v>1</v>
      </c>
      <c r="G50" s="320">
        <f>+G39</f>
        <v>7.6000000000000005</v>
      </c>
      <c r="H50" s="320"/>
      <c r="I50" s="321">
        <f>+I37</f>
        <v>1.17</v>
      </c>
      <c r="K50" s="312"/>
      <c r="L50" s="312"/>
      <c r="M50" s="312"/>
      <c r="N50" s="312"/>
      <c r="O50" s="312"/>
      <c r="P50" s="312"/>
      <c r="Q50" s="312"/>
      <c r="R50" s="312"/>
      <c r="S50" s="312"/>
      <c r="T50" s="312"/>
      <c r="U50" s="312"/>
      <c r="V50" s="312"/>
      <c r="W50" s="312"/>
      <c r="X50" s="312"/>
      <c r="Y50" s="312"/>
    </row>
    <row r="51" spans="3:25" s="313" customFormat="1">
      <c r="C51" s="322"/>
      <c r="D51" s="344"/>
      <c r="E51" s="324">
        <f t="shared" si="12"/>
        <v>3.5200000000000005</v>
      </c>
      <c r="F51" s="325">
        <v>1</v>
      </c>
      <c r="G51" s="325">
        <f>+G44</f>
        <v>2.2000000000000002</v>
      </c>
      <c r="H51" s="325">
        <f>+H44</f>
        <v>1.6</v>
      </c>
      <c r="I51" s="326"/>
      <c r="K51" s="312"/>
      <c r="L51" s="312"/>
      <c r="M51" s="312"/>
      <c r="N51" s="312"/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</row>
    <row r="52" spans="3:25" s="313" customFormat="1">
      <c r="C52" s="328"/>
      <c r="D52" s="345"/>
      <c r="E52" s="330">
        <f t="shared" si="12"/>
        <v>3.2372566611769189</v>
      </c>
      <c r="F52" s="331">
        <v>1</v>
      </c>
      <c r="G52" s="331">
        <f>+SUM(E44:E45)</f>
        <v>3.2372566611769189</v>
      </c>
      <c r="H52" s="331"/>
      <c r="I52" s="33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</row>
    <row r="53" spans="3:25" s="313" customFormat="1">
      <c r="C53" s="346"/>
      <c r="E53" s="314"/>
      <c r="F53" s="334"/>
      <c r="G53" s="334"/>
      <c r="H53" s="334"/>
      <c r="I53" s="334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</row>
    <row r="54" spans="3:25" s="313" customFormat="1">
      <c r="C54" s="335" t="s">
        <v>367</v>
      </c>
      <c r="D54" s="336">
        <f t="shared" si="3"/>
        <v>3.5200000000000005</v>
      </c>
      <c r="E54" s="337">
        <f t="shared" ref="E54" si="13">+PRODUCT(F54:I54)</f>
        <v>3.5200000000000005</v>
      </c>
      <c r="F54" s="338">
        <v>1</v>
      </c>
      <c r="G54" s="338">
        <f>+G16-2*H11</f>
        <v>2.2000000000000002</v>
      </c>
      <c r="H54" s="338">
        <f>+H16-2*H11</f>
        <v>1.6</v>
      </c>
      <c r="I54" s="339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</row>
    <row r="55" spans="3:25" s="313" customFormat="1">
      <c r="C55" s="346"/>
      <c r="E55" s="314"/>
      <c r="F55" s="334"/>
      <c r="G55" s="334"/>
      <c r="H55" s="334"/>
      <c r="I55" s="334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</row>
    <row r="56" spans="3:25" s="313" customFormat="1">
      <c r="C56" s="335" t="s">
        <v>368</v>
      </c>
      <c r="D56" s="336">
        <f t="shared" si="3"/>
        <v>1.17</v>
      </c>
      <c r="E56" s="337">
        <f t="shared" ref="E56" si="14">+PRODUCT(F56:I56)</f>
        <v>1.17</v>
      </c>
      <c r="F56" s="338">
        <v>1</v>
      </c>
      <c r="G56" s="338">
        <f>+E13</f>
        <v>1.17</v>
      </c>
      <c r="H56" s="338"/>
      <c r="I56" s="339"/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</row>
    <row r="57" spans="3:25" s="313" customFormat="1">
      <c r="C57" s="346"/>
      <c r="E57" s="314"/>
      <c r="F57" s="334"/>
      <c r="G57" s="334"/>
      <c r="H57" s="334"/>
      <c r="I57" s="334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</row>
    <row r="58" spans="3:25" s="313" customFormat="1">
      <c r="C58" s="335" t="s">
        <v>369</v>
      </c>
      <c r="D58" s="336">
        <f t="shared" si="3"/>
        <v>1</v>
      </c>
      <c r="E58" s="337">
        <f t="shared" ref="E58" si="15">+PRODUCT(F58:I58)</f>
        <v>1</v>
      </c>
      <c r="F58" s="338">
        <v>1</v>
      </c>
      <c r="G58" s="348">
        <v>1</v>
      </c>
      <c r="H58" s="338"/>
      <c r="I58" s="339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</row>
    <row r="59" spans="3:25" s="313" customFormat="1">
      <c r="C59" s="346"/>
      <c r="E59" s="314"/>
      <c r="F59" s="334"/>
      <c r="G59" s="334"/>
      <c r="H59" s="334"/>
      <c r="I59" s="334"/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</row>
    <row r="60" spans="3:25" s="313" customFormat="1">
      <c r="C60" s="335" t="s">
        <v>370</v>
      </c>
      <c r="D60" s="336">
        <f t="shared" si="3"/>
        <v>1</v>
      </c>
      <c r="E60" s="337">
        <f t="shared" ref="E60" si="16">+PRODUCT(F60:I60)</f>
        <v>1</v>
      </c>
      <c r="F60" s="338">
        <v>1</v>
      </c>
      <c r="G60" s="348">
        <v>1</v>
      </c>
      <c r="H60" s="338"/>
      <c r="I60" s="339"/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</row>
    <row r="62" spans="3:25" s="375" customFormat="1" ht="21">
      <c r="C62" s="372" t="s">
        <v>387</v>
      </c>
      <c r="D62" s="373"/>
      <c r="E62" s="373"/>
      <c r="F62" s="373"/>
      <c r="G62" s="373"/>
      <c r="H62" s="373"/>
      <c r="I62" s="374"/>
    </row>
    <row r="63" spans="3:25" s="313" customFormat="1">
      <c r="C63" s="316"/>
      <c r="D63" s="314" t="s">
        <v>329</v>
      </c>
      <c r="E63" s="314">
        <v>2.6</v>
      </c>
      <c r="F63" s="314"/>
      <c r="G63" s="314" t="s">
        <v>330</v>
      </c>
      <c r="H63" s="314">
        <v>0.2</v>
      </c>
      <c r="I63" s="315"/>
    </row>
    <row r="64" spans="3:25" s="313" customFormat="1">
      <c r="C64" s="316"/>
      <c r="D64" s="314" t="s">
        <v>331</v>
      </c>
      <c r="E64" s="314">
        <v>2</v>
      </c>
      <c r="F64" s="314"/>
      <c r="G64" s="314" t="s">
        <v>332</v>
      </c>
      <c r="H64" s="314">
        <v>0.2</v>
      </c>
      <c r="I64" s="315"/>
    </row>
    <row r="65" spans="3:9" s="313" customFormat="1">
      <c r="C65" s="316"/>
      <c r="D65" s="314" t="s">
        <v>333</v>
      </c>
      <c r="E65" s="314">
        <f>+E66+0.6</f>
        <v>1.9899999999999998</v>
      </c>
      <c r="F65" s="314"/>
      <c r="G65" s="314" t="s">
        <v>334</v>
      </c>
      <c r="H65" s="314">
        <v>0.2</v>
      </c>
      <c r="I65" s="315"/>
    </row>
    <row r="66" spans="3:9" s="313" customFormat="1">
      <c r="C66" s="316"/>
      <c r="D66" s="314" t="s">
        <v>335</v>
      </c>
      <c r="E66" s="314">
        <v>1.39</v>
      </c>
      <c r="F66" s="314"/>
      <c r="G66" s="314"/>
      <c r="H66" s="314"/>
      <c r="I66" s="315"/>
    </row>
    <row r="67" spans="3:9" s="313" customFormat="1">
      <c r="C67" s="316"/>
      <c r="I67" s="315"/>
    </row>
    <row r="68" spans="3:9" s="313" customFormat="1">
      <c r="C68" s="312"/>
      <c r="F68" s="313" t="s">
        <v>227</v>
      </c>
      <c r="G68" s="313" t="s">
        <v>336</v>
      </c>
      <c r="H68" s="313" t="s">
        <v>226</v>
      </c>
      <c r="I68" s="313" t="s">
        <v>2</v>
      </c>
    </row>
    <row r="69" spans="3:9">
      <c r="C69" s="317" t="s">
        <v>337</v>
      </c>
      <c r="D69" s="318">
        <f>+E69</f>
        <v>5.2</v>
      </c>
      <c r="E69" s="319">
        <f>+PRODUCT(F69:I69)</f>
        <v>5.2</v>
      </c>
      <c r="F69" s="320">
        <v>1</v>
      </c>
      <c r="G69" s="320">
        <f>+E63</f>
        <v>2.6</v>
      </c>
      <c r="H69" s="320">
        <f>+E64</f>
        <v>2</v>
      </c>
      <c r="I69" s="321"/>
    </row>
    <row r="70" spans="3:9">
      <c r="C70" s="322" t="s">
        <v>338</v>
      </c>
      <c r="D70" s="323">
        <f t="shared" ref="D70" si="17">+E70</f>
        <v>5.2</v>
      </c>
      <c r="E70" s="324">
        <f t="shared" ref="E70:E76" si="18">+PRODUCT(F70:I70)</f>
        <v>5.2</v>
      </c>
      <c r="F70" s="325">
        <f t="shared" ref="F70:H71" si="19">+F69</f>
        <v>1</v>
      </c>
      <c r="G70" s="325">
        <f t="shared" si="19"/>
        <v>2.6</v>
      </c>
      <c r="H70" s="325">
        <f t="shared" si="19"/>
        <v>2</v>
      </c>
      <c r="I70" s="326"/>
    </row>
    <row r="71" spans="3:9">
      <c r="C71" s="322" t="s">
        <v>339</v>
      </c>
      <c r="D71" s="323">
        <f>SUM(E71:E73)</f>
        <v>12.507599999999998</v>
      </c>
      <c r="E71" s="324">
        <f t="shared" si="18"/>
        <v>10.347999999999999</v>
      </c>
      <c r="F71" s="325">
        <f t="shared" si="19"/>
        <v>1</v>
      </c>
      <c r="G71" s="325">
        <f t="shared" si="19"/>
        <v>2.6</v>
      </c>
      <c r="H71" s="325">
        <f t="shared" si="19"/>
        <v>2</v>
      </c>
      <c r="I71" s="326">
        <f>+E65</f>
        <v>1.9899999999999998</v>
      </c>
    </row>
    <row r="72" spans="3:9">
      <c r="C72" s="327" t="s">
        <v>340</v>
      </c>
      <c r="D72" s="324"/>
      <c r="E72" s="324">
        <f t="shared" si="18"/>
        <v>2.0695999999999999</v>
      </c>
      <c r="F72" s="325">
        <v>1</v>
      </c>
      <c r="G72" s="325">
        <f>+(G71*2+1.2)+H71*2</f>
        <v>10.4</v>
      </c>
      <c r="H72" s="325">
        <v>0.1</v>
      </c>
      <c r="I72" s="326">
        <f>+I71</f>
        <v>1.9899999999999998</v>
      </c>
    </row>
    <row r="73" spans="3:9">
      <c r="C73" s="327"/>
      <c r="D73" s="324"/>
      <c r="E73" s="324">
        <f t="shared" si="18"/>
        <v>0.09</v>
      </c>
      <c r="F73" s="325">
        <v>1</v>
      </c>
      <c r="G73" s="325">
        <v>0.3</v>
      </c>
      <c r="H73" s="325">
        <v>0.3</v>
      </c>
      <c r="I73" s="326">
        <v>1</v>
      </c>
    </row>
    <row r="74" spans="3:9">
      <c r="C74" s="322" t="s">
        <v>341</v>
      </c>
      <c r="D74" s="323">
        <f>+E74</f>
        <v>5.2</v>
      </c>
      <c r="E74" s="324">
        <f t="shared" si="18"/>
        <v>5.2</v>
      </c>
      <c r="F74" s="325">
        <f>+F71</f>
        <v>1</v>
      </c>
      <c r="G74" s="325">
        <f>+G71</f>
        <v>2.6</v>
      </c>
      <c r="H74" s="325">
        <f>+H71</f>
        <v>2</v>
      </c>
      <c r="I74" s="326"/>
    </row>
    <row r="75" spans="3:9">
      <c r="C75" s="322" t="s">
        <v>342</v>
      </c>
      <c r="D75" s="323">
        <f t="shared" ref="D75:D76" si="20">+E75</f>
        <v>2.0695999999999999</v>
      </c>
      <c r="E75" s="324">
        <f t="shared" si="18"/>
        <v>2.0695999999999999</v>
      </c>
      <c r="F75" s="325">
        <f>+E72</f>
        <v>2.0695999999999999</v>
      </c>
      <c r="G75" s="325"/>
      <c r="H75" s="325"/>
      <c r="I75" s="326"/>
    </row>
    <row r="76" spans="3:9">
      <c r="C76" s="328" t="s">
        <v>343</v>
      </c>
      <c r="D76" s="329">
        <f t="shared" si="20"/>
        <v>10.437999999999999</v>
      </c>
      <c r="E76" s="330">
        <f t="shared" si="18"/>
        <v>10.437999999999999</v>
      </c>
      <c r="F76" s="331">
        <f>+D71-D75</f>
        <v>10.437999999999999</v>
      </c>
      <c r="G76" s="331"/>
      <c r="H76" s="331"/>
      <c r="I76" s="332"/>
    </row>
    <row r="77" spans="3:9">
      <c r="C77" s="333"/>
      <c r="D77" s="310"/>
      <c r="E77" s="314"/>
      <c r="F77" s="334"/>
      <c r="G77" s="334"/>
      <c r="H77" s="334"/>
      <c r="I77" s="334"/>
    </row>
    <row r="78" spans="3:9">
      <c r="C78" s="335" t="s">
        <v>344</v>
      </c>
      <c r="D78" s="336">
        <f t="shared" ref="D78" si="21">+E78</f>
        <v>6.3E-2</v>
      </c>
      <c r="E78" s="337">
        <f t="shared" ref="E78" si="22">+PRODUCT(F78:I78)</f>
        <v>6.3E-2</v>
      </c>
      <c r="F78" s="338">
        <v>1</v>
      </c>
      <c r="G78" s="338">
        <v>0.3</v>
      </c>
      <c r="H78" s="338">
        <v>0.3</v>
      </c>
      <c r="I78" s="339">
        <v>0.7</v>
      </c>
    </row>
    <row r="79" spans="3:9">
      <c r="C79" s="333"/>
      <c r="D79" s="310"/>
      <c r="E79" s="314"/>
      <c r="F79" s="334"/>
      <c r="G79" s="334"/>
      <c r="H79" s="334"/>
      <c r="I79" s="334"/>
    </row>
    <row r="80" spans="3:9">
      <c r="C80" s="335" t="s">
        <v>345</v>
      </c>
      <c r="D80" s="336">
        <f t="shared" ref="D80" si="23">+E80</f>
        <v>0.52</v>
      </c>
      <c r="E80" s="337">
        <f t="shared" ref="E80" si="24">+PRODUCT(F80:I80)</f>
        <v>0.52</v>
      </c>
      <c r="F80" s="338">
        <f>+F69</f>
        <v>1</v>
      </c>
      <c r="G80" s="338">
        <f>+G69</f>
        <v>2.6</v>
      </c>
      <c r="H80" s="338">
        <f>+H69</f>
        <v>2</v>
      </c>
      <c r="I80" s="339">
        <v>0.1</v>
      </c>
    </row>
    <row r="81" spans="3:25">
      <c r="C81" s="333"/>
      <c r="D81" s="340"/>
      <c r="F81" s="334"/>
      <c r="G81" s="334"/>
      <c r="H81" s="334"/>
      <c r="I81" s="334"/>
      <c r="K81" s="311" t="s">
        <v>346</v>
      </c>
      <c r="L81" s="309" t="s">
        <v>336</v>
      </c>
      <c r="M81" s="312" t="s">
        <v>347</v>
      </c>
      <c r="N81" s="309" t="s">
        <v>227</v>
      </c>
      <c r="O81" s="309" t="s">
        <v>348</v>
      </c>
      <c r="P81" s="309" t="s">
        <v>349</v>
      </c>
      <c r="Q81" s="309" t="s">
        <v>350</v>
      </c>
    </row>
    <row r="82" spans="3:25">
      <c r="C82" s="317" t="s">
        <v>351</v>
      </c>
      <c r="D82" s="341">
        <f t="shared" ref="D82:D84" si="25">+E82</f>
        <v>5.4450000000000005E-2</v>
      </c>
      <c r="E82" s="319">
        <f t="shared" ref="E82:E84" si="26">+PRODUCT(F82:I82)</f>
        <v>5.4450000000000005E-2</v>
      </c>
      <c r="F82" s="320">
        <v>1</v>
      </c>
      <c r="G82" s="342">
        <v>0.55000000000000004</v>
      </c>
      <c r="H82" s="320">
        <v>0.22</v>
      </c>
      <c r="I82" s="321">
        <v>0.45</v>
      </c>
      <c r="K82" s="312" t="s">
        <v>352</v>
      </c>
      <c r="L82" s="312">
        <f>+G82+0.3*2-0.08</f>
        <v>1.0699999999999998</v>
      </c>
      <c r="M82" s="312">
        <v>2</v>
      </c>
      <c r="N82" s="312">
        <f>ROUND((G82-0.08)/0.15+1,0)</f>
        <v>4</v>
      </c>
      <c r="O82" s="343">
        <v>0.375</v>
      </c>
      <c r="P82" s="312">
        <v>0.56000000000000005</v>
      </c>
      <c r="Q82" s="313">
        <f>+L82*M82*N82*P82</f>
        <v>4.7935999999999996</v>
      </c>
    </row>
    <row r="83" spans="3:25">
      <c r="C83" s="322" t="s">
        <v>353</v>
      </c>
      <c r="D83" s="344">
        <f t="shared" si="25"/>
        <v>0.73919999999999997</v>
      </c>
      <c r="E83" s="324">
        <f t="shared" si="26"/>
        <v>0.73919999999999997</v>
      </c>
      <c r="F83" s="325">
        <v>1</v>
      </c>
      <c r="G83" s="325">
        <f>+G82*2+H82*2</f>
        <v>1.54</v>
      </c>
      <c r="H83" s="325"/>
      <c r="I83" s="326">
        <v>0.48</v>
      </c>
    </row>
    <row r="84" spans="3:25">
      <c r="C84" s="328" t="s">
        <v>354</v>
      </c>
      <c r="D84" s="345">
        <f t="shared" si="25"/>
        <v>4.7935999999999996</v>
      </c>
      <c r="E84" s="330">
        <f t="shared" si="26"/>
        <v>4.7935999999999996</v>
      </c>
      <c r="F84" s="331">
        <f>+Q82</f>
        <v>4.7935999999999996</v>
      </c>
      <c r="G84" s="331"/>
      <c r="H84" s="331"/>
      <c r="I84" s="332"/>
    </row>
    <row r="85" spans="3:25">
      <c r="C85" s="333"/>
      <c r="D85" s="310"/>
      <c r="E85" s="314"/>
      <c r="F85" s="334"/>
      <c r="G85" s="334"/>
      <c r="H85" s="334"/>
      <c r="I85" s="334"/>
      <c r="K85" s="311" t="s">
        <v>355</v>
      </c>
      <c r="L85" s="309" t="s">
        <v>336</v>
      </c>
      <c r="M85" s="312" t="s">
        <v>347</v>
      </c>
      <c r="N85" s="309" t="s">
        <v>227</v>
      </c>
      <c r="O85" s="309" t="s">
        <v>348</v>
      </c>
      <c r="P85" s="309" t="s">
        <v>349</v>
      </c>
      <c r="Q85" s="309" t="s">
        <v>350</v>
      </c>
    </row>
    <row r="86" spans="3:25">
      <c r="C86" s="317" t="s">
        <v>356</v>
      </c>
      <c r="D86" s="341">
        <f t="shared" ref="D86:D88" si="27">+E86</f>
        <v>1.04</v>
      </c>
      <c r="E86" s="319">
        <f t="shared" ref="E86:E88" si="28">+PRODUCT(F86:I86)</f>
        <v>1.04</v>
      </c>
      <c r="F86" s="320">
        <v>1</v>
      </c>
      <c r="G86" s="320">
        <f>+E63</f>
        <v>2.6</v>
      </c>
      <c r="H86" s="320">
        <f>+E64</f>
        <v>2</v>
      </c>
      <c r="I86" s="321">
        <f>+H63</f>
        <v>0.2</v>
      </c>
      <c r="K86" s="312" t="s">
        <v>352</v>
      </c>
      <c r="L86" s="312">
        <f>+E63+0.3*2-0.08</f>
        <v>3.12</v>
      </c>
      <c r="M86" s="312">
        <v>2</v>
      </c>
      <c r="N86" s="312">
        <f>ROUND((E64-0.08)/0.25+1,0)</f>
        <v>9</v>
      </c>
      <c r="O86" s="343">
        <v>0.375</v>
      </c>
      <c r="P86" s="312">
        <v>0.56000000000000005</v>
      </c>
      <c r="Q86" s="313">
        <f>+L86*M86*N86*P86</f>
        <v>31.449600000000004</v>
      </c>
    </row>
    <row r="87" spans="3:25">
      <c r="C87" s="322" t="s">
        <v>353</v>
      </c>
      <c r="D87" s="344">
        <f t="shared" si="27"/>
        <v>1.8399999999999999</v>
      </c>
      <c r="E87" s="324">
        <f t="shared" si="28"/>
        <v>1.8399999999999999</v>
      </c>
      <c r="F87" s="325">
        <v>1</v>
      </c>
      <c r="G87" s="325">
        <f>+G86*2+H86*2</f>
        <v>9.1999999999999993</v>
      </c>
      <c r="H87" s="325"/>
      <c r="I87" s="326">
        <f>+I86</f>
        <v>0.2</v>
      </c>
      <c r="K87" s="312" t="s">
        <v>357</v>
      </c>
      <c r="L87" s="312">
        <f>+E64+0.3*2-0.08</f>
        <v>2.52</v>
      </c>
      <c r="M87" s="312">
        <v>2</v>
      </c>
      <c r="N87" s="312">
        <f>ROUND((E63-0.08)/0.25+1,0)</f>
        <v>11</v>
      </c>
      <c r="O87" s="343">
        <v>0.375</v>
      </c>
      <c r="P87" s="312">
        <v>0.56000000000000005</v>
      </c>
      <c r="Q87" s="313">
        <f>+L87*M87*N87*P87</f>
        <v>31.046400000000002</v>
      </c>
    </row>
    <row r="88" spans="3:25">
      <c r="C88" s="328" t="s">
        <v>354</v>
      </c>
      <c r="D88" s="345">
        <f t="shared" si="27"/>
        <v>62.496000000000009</v>
      </c>
      <c r="E88" s="330">
        <f t="shared" si="28"/>
        <v>62.496000000000009</v>
      </c>
      <c r="F88" s="331">
        <f>+Q88</f>
        <v>62.496000000000009</v>
      </c>
      <c r="G88" s="331"/>
      <c r="H88" s="331"/>
      <c r="I88" s="332"/>
      <c r="Q88" s="310">
        <f>SUM(Q86:Q87)</f>
        <v>62.496000000000009</v>
      </c>
    </row>
    <row r="89" spans="3:25">
      <c r="C89" s="333"/>
      <c r="D89" s="310"/>
      <c r="E89" s="314"/>
      <c r="F89" s="334"/>
      <c r="G89" s="334"/>
      <c r="H89" s="334"/>
      <c r="I89" s="334"/>
    </row>
    <row r="90" spans="3:25">
      <c r="C90" s="317" t="s">
        <v>358</v>
      </c>
      <c r="D90" s="341">
        <f t="shared" ref="D90" si="29">+E90</f>
        <v>2.3351999999999999</v>
      </c>
      <c r="E90" s="319">
        <f t="shared" ref="E90:E93" si="30">+PRODUCT(F90:I90)</f>
        <v>2.3351999999999999</v>
      </c>
      <c r="F90" s="320">
        <v>1</v>
      </c>
      <c r="G90" s="320">
        <f>+E63*2+(E64-2*H64)*2</f>
        <v>8.4</v>
      </c>
      <c r="H90" s="320">
        <f>+H64</f>
        <v>0.2</v>
      </c>
      <c r="I90" s="321">
        <f>+E66</f>
        <v>1.39</v>
      </c>
      <c r="K90" s="311" t="s">
        <v>359</v>
      </c>
      <c r="L90" s="309" t="s">
        <v>336</v>
      </c>
      <c r="M90" s="312" t="s">
        <v>360</v>
      </c>
      <c r="N90" s="309" t="s">
        <v>227</v>
      </c>
      <c r="O90" s="309" t="s">
        <v>348</v>
      </c>
      <c r="P90" s="309" t="s">
        <v>349</v>
      </c>
      <c r="Q90" s="309" t="s">
        <v>350</v>
      </c>
      <c r="S90" s="311" t="s">
        <v>361</v>
      </c>
      <c r="T90" s="309" t="s">
        <v>336</v>
      </c>
      <c r="U90" s="312" t="s">
        <v>360</v>
      </c>
      <c r="V90" s="309" t="s">
        <v>227</v>
      </c>
      <c r="W90" s="309" t="s">
        <v>348</v>
      </c>
      <c r="X90" s="309" t="s">
        <v>349</v>
      </c>
      <c r="Y90" s="309" t="s">
        <v>350</v>
      </c>
    </row>
    <row r="91" spans="3:25">
      <c r="C91" s="322" t="s">
        <v>353</v>
      </c>
      <c r="D91" s="344">
        <f>+E91+E92</f>
        <v>23.351999999999997</v>
      </c>
      <c r="E91" s="324">
        <f t="shared" si="30"/>
        <v>12.787999999999998</v>
      </c>
      <c r="F91" s="325">
        <v>1</v>
      </c>
      <c r="G91" s="325">
        <f>+(E63+E64)*2</f>
        <v>9.1999999999999993</v>
      </c>
      <c r="H91" s="325"/>
      <c r="I91" s="326">
        <f>+I90</f>
        <v>1.39</v>
      </c>
      <c r="K91" s="312" t="s">
        <v>362</v>
      </c>
      <c r="L91" s="312">
        <f>+E63+0.3*2-0.08</f>
        <v>3.12</v>
      </c>
      <c r="M91" s="312">
        <f>2+2</f>
        <v>4</v>
      </c>
      <c r="N91" s="312">
        <f>ROUND((E66-0.08)/0.25+1,0)</f>
        <v>6</v>
      </c>
      <c r="O91" s="343">
        <v>0.375</v>
      </c>
      <c r="P91" s="312">
        <v>0.56000000000000005</v>
      </c>
      <c r="Q91" s="313">
        <f t="shared" ref="Q91:Q92" si="31">+L91*M91*N91*P91</f>
        <v>41.9328</v>
      </c>
      <c r="S91" s="312" t="s">
        <v>362</v>
      </c>
      <c r="T91" s="312">
        <f>+E64+0.3*2-0.08</f>
        <v>2.52</v>
      </c>
      <c r="U91" s="312">
        <f>2+2</f>
        <v>4</v>
      </c>
      <c r="V91" s="312">
        <f>ROUND((E66-0.08)/0.25+1,0)</f>
        <v>6</v>
      </c>
      <c r="W91" s="343">
        <v>0.375</v>
      </c>
      <c r="X91" s="312">
        <v>0.56000000000000005</v>
      </c>
      <c r="Y91" s="313">
        <f t="shared" ref="Y91:Y92" si="32">+T91*U91*V91*X91</f>
        <v>33.868800000000007</v>
      </c>
    </row>
    <row r="92" spans="3:25">
      <c r="C92" s="322"/>
      <c r="D92" s="344"/>
      <c r="E92" s="324">
        <f t="shared" si="30"/>
        <v>10.564</v>
      </c>
      <c r="F92" s="325">
        <v>1</v>
      </c>
      <c r="G92" s="325">
        <f>+(E63-2*H64)*2+(E64-2*H64)*2</f>
        <v>7.6000000000000005</v>
      </c>
      <c r="H92" s="325"/>
      <c r="I92" s="326">
        <f>+I91</f>
        <v>1.39</v>
      </c>
      <c r="K92" s="312" t="s">
        <v>363</v>
      </c>
      <c r="L92" s="312">
        <f>+E66+0.3*2-0.04+H65+H63</f>
        <v>2.35</v>
      </c>
      <c r="M92" s="312">
        <f>2+2</f>
        <v>4</v>
      </c>
      <c r="N92" s="312">
        <f>ROUND((E63-0.08)/0.25+1,0)</f>
        <v>11</v>
      </c>
      <c r="O92" s="343">
        <v>0.375</v>
      </c>
      <c r="P92" s="312">
        <v>0.56000000000000005</v>
      </c>
      <c r="Q92" s="313">
        <f t="shared" si="31"/>
        <v>57.904000000000011</v>
      </c>
      <c r="S92" s="312" t="s">
        <v>363</v>
      </c>
      <c r="T92" s="312">
        <f>+E66+0.3*2-0.04+H65+H63</f>
        <v>2.35</v>
      </c>
      <c r="U92" s="312">
        <f>2+2</f>
        <v>4</v>
      </c>
      <c r="V92" s="312">
        <f>ROUND((E64-0.08)/0.25+1,0)</f>
        <v>9</v>
      </c>
      <c r="W92" s="343">
        <v>0.375</v>
      </c>
      <c r="X92" s="312">
        <v>0.56000000000000005</v>
      </c>
      <c r="Y92" s="313">
        <f t="shared" si="32"/>
        <v>47.376000000000012</v>
      </c>
    </row>
    <row r="93" spans="3:25">
      <c r="C93" s="328" t="s">
        <v>354</v>
      </c>
      <c r="D93" s="345">
        <f t="shared" ref="D93" si="33">+E93</f>
        <v>181.08160000000004</v>
      </c>
      <c r="E93" s="330">
        <f t="shared" si="30"/>
        <v>181.08160000000004</v>
      </c>
      <c r="F93" s="331">
        <f>+Q93+Y93</f>
        <v>181.08160000000004</v>
      </c>
      <c r="G93" s="331"/>
      <c r="H93" s="331"/>
      <c r="I93" s="332"/>
      <c r="Q93" s="310">
        <f>SUM(Q91:Q92)</f>
        <v>99.836800000000011</v>
      </c>
      <c r="Y93" s="310">
        <f>SUM(Y91:Y92)</f>
        <v>81.244800000000026</v>
      </c>
    </row>
    <row r="94" spans="3:25">
      <c r="C94" s="346"/>
      <c r="E94" s="314"/>
      <c r="F94" s="334"/>
      <c r="G94" s="334"/>
      <c r="H94" s="334"/>
      <c r="I94" s="334"/>
    </row>
    <row r="95" spans="3:25">
      <c r="C95" s="317" t="s">
        <v>364</v>
      </c>
      <c r="D95" s="341">
        <f>+E95+E96</f>
        <v>0.98345133223538372</v>
      </c>
      <c r="E95" s="319">
        <f t="shared" ref="E95:E101" si="34">+PRODUCT(F95:I95)</f>
        <v>1.04</v>
      </c>
      <c r="F95" s="320">
        <v>1</v>
      </c>
      <c r="G95" s="320">
        <f>+G86</f>
        <v>2.6</v>
      </c>
      <c r="H95" s="320">
        <f>+H86</f>
        <v>2</v>
      </c>
      <c r="I95" s="321">
        <f>+H65</f>
        <v>0.2</v>
      </c>
      <c r="K95" s="311" t="s">
        <v>365</v>
      </c>
      <c r="L95" s="309" t="s">
        <v>336</v>
      </c>
      <c r="M95" s="312" t="s">
        <v>347</v>
      </c>
      <c r="N95" s="309" t="s">
        <v>227</v>
      </c>
      <c r="O95" s="309" t="s">
        <v>348</v>
      </c>
      <c r="P95" s="309" t="s">
        <v>349</v>
      </c>
      <c r="Q95" s="309" t="s">
        <v>350</v>
      </c>
    </row>
    <row r="96" spans="3:25">
      <c r="C96" s="322"/>
      <c r="D96" s="344"/>
      <c r="E96" s="324">
        <f t="shared" si="34"/>
        <v>-5.6548667764616284E-2</v>
      </c>
      <c r="F96" s="325">
        <v>-1</v>
      </c>
      <c r="G96" s="325">
        <f>+PI()*0.3^2</f>
        <v>0.28274333882308139</v>
      </c>
      <c r="H96" s="325"/>
      <c r="I96" s="326">
        <f>+I95</f>
        <v>0.2</v>
      </c>
      <c r="K96" s="312" t="s">
        <v>352</v>
      </c>
      <c r="L96" s="312">
        <f>+E63+0.3*2-0.08</f>
        <v>3.12</v>
      </c>
      <c r="M96" s="312">
        <v>2</v>
      </c>
      <c r="N96" s="312">
        <f>ROUND((E64-0.08)/0.25+1,0)</f>
        <v>9</v>
      </c>
      <c r="O96" s="343">
        <v>0.375</v>
      </c>
      <c r="P96" s="312">
        <v>0.56000000000000005</v>
      </c>
      <c r="Q96" s="313">
        <f>+L96*M96*N96*P96*1.05</f>
        <v>33.022080000000003</v>
      </c>
    </row>
    <row r="97" spans="3:25">
      <c r="C97" s="322" t="s">
        <v>353</v>
      </c>
      <c r="D97" s="344">
        <f>SUM(E97:E100)</f>
        <v>4.2739822368615501</v>
      </c>
      <c r="E97" s="324">
        <f t="shared" si="34"/>
        <v>3.5200000000000005</v>
      </c>
      <c r="F97" s="325">
        <v>1</v>
      </c>
      <c r="G97" s="325">
        <f>+G95-0.4</f>
        <v>2.2000000000000002</v>
      </c>
      <c r="H97" s="325">
        <f>+H95-0.4</f>
        <v>1.6</v>
      </c>
      <c r="I97" s="326"/>
      <c r="K97" s="312" t="s">
        <v>357</v>
      </c>
      <c r="L97" s="312">
        <f>+E64+0.3*2-0.08</f>
        <v>2.52</v>
      </c>
      <c r="M97" s="312">
        <v>2</v>
      </c>
      <c r="N97" s="312">
        <f>ROUND((E63-0.08)/0.25+1,0)</f>
        <v>11</v>
      </c>
      <c r="O97" s="343">
        <v>0.375</v>
      </c>
      <c r="P97" s="312">
        <v>0.56000000000000005</v>
      </c>
      <c r="Q97" s="313">
        <f>+L97*M97*N97*P97*1.05</f>
        <v>32.59872</v>
      </c>
    </row>
    <row r="98" spans="3:25">
      <c r="C98" s="322"/>
      <c r="D98" s="344"/>
      <c r="E98" s="324">
        <f t="shared" si="34"/>
        <v>-0.28274333882308139</v>
      </c>
      <c r="F98" s="325">
        <v>-1</v>
      </c>
      <c r="G98" s="325">
        <f>+G96</f>
        <v>0.28274333882308139</v>
      </c>
      <c r="H98" s="325"/>
      <c r="I98" s="326"/>
      <c r="Q98" s="310">
        <f>SUM(Q96:Q97)</f>
        <v>65.620800000000003</v>
      </c>
    </row>
    <row r="99" spans="3:25">
      <c r="C99" s="322"/>
      <c r="D99" s="344"/>
      <c r="E99" s="324">
        <f t="shared" si="34"/>
        <v>0.56548667764616245</v>
      </c>
      <c r="F99" s="325">
        <v>1</v>
      </c>
      <c r="G99" s="325">
        <f>2*PI()*0.3</f>
        <v>1.8849555921538759</v>
      </c>
      <c r="H99" s="325"/>
      <c r="I99" s="326">
        <f>+E65-E66-H63-0.1</f>
        <v>0.29999999999999982</v>
      </c>
    </row>
    <row r="100" spans="3:25">
      <c r="C100" s="322"/>
      <c r="D100" s="344"/>
      <c r="E100" s="324">
        <f t="shared" si="34"/>
        <v>0.47123889803846897</v>
      </c>
      <c r="F100" s="325">
        <v>1</v>
      </c>
      <c r="G100" s="325">
        <f>2*PI()*0.5</f>
        <v>3.1415926535897931</v>
      </c>
      <c r="H100" s="325"/>
      <c r="I100" s="347">
        <v>0.15</v>
      </c>
    </row>
    <row r="101" spans="3:25" s="313" customFormat="1">
      <c r="C101" s="328" t="s">
        <v>354</v>
      </c>
      <c r="D101" s="345">
        <f t="shared" ref="D101" si="35">+E101</f>
        <v>65.620800000000003</v>
      </c>
      <c r="E101" s="330">
        <f t="shared" si="34"/>
        <v>65.620800000000003</v>
      </c>
      <c r="F101" s="331">
        <f>+Q98</f>
        <v>65.620800000000003</v>
      </c>
      <c r="G101" s="331"/>
      <c r="H101" s="331"/>
      <c r="I101" s="33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</row>
    <row r="102" spans="3:25" s="313" customFormat="1">
      <c r="C102" s="346"/>
      <c r="E102" s="314"/>
      <c r="F102" s="334"/>
      <c r="G102" s="334"/>
      <c r="H102" s="334"/>
      <c r="I102" s="334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</row>
    <row r="103" spans="3:25" s="334" customFormat="1">
      <c r="C103" s="628" t="s">
        <v>1363</v>
      </c>
      <c r="D103" s="629">
        <f>+SUM(E103:E105)</f>
        <v>15.914</v>
      </c>
      <c r="E103" s="320">
        <f t="shared" ref="E103" si="36">+PRODUCT(F103:I103)</f>
        <v>10.564</v>
      </c>
      <c r="F103" s="320">
        <v>1</v>
      </c>
      <c r="G103" s="320">
        <f>+G92</f>
        <v>7.6000000000000005</v>
      </c>
      <c r="H103" s="320"/>
      <c r="I103" s="321">
        <f>+I90</f>
        <v>1.39</v>
      </c>
      <c r="K103" s="630"/>
      <c r="L103" s="630"/>
      <c r="M103" s="630"/>
      <c r="N103" s="630"/>
      <c r="O103" s="630"/>
      <c r="P103" s="630"/>
      <c r="Q103" s="630"/>
      <c r="R103" s="630"/>
      <c r="S103" s="630"/>
      <c r="T103" s="630"/>
      <c r="U103" s="630"/>
      <c r="V103" s="630"/>
      <c r="W103" s="630"/>
      <c r="X103" s="630"/>
      <c r="Y103" s="630"/>
    </row>
    <row r="104" spans="3:25" s="334" customFormat="1">
      <c r="C104" s="631"/>
      <c r="D104" s="325"/>
      <c r="E104" s="325">
        <f>+F104*G104</f>
        <v>2.2000000000000002</v>
      </c>
      <c r="F104" s="325">
        <v>1</v>
      </c>
      <c r="G104" s="325">
        <f>+G97</f>
        <v>2.2000000000000002</v>
      </c>
      <c r="H104" s="325">
        <f>+H97</f>
        <v>1.6</v>
      </c>
      <c r="I104" s="326"/>
      <c r="K104" s="630"/>
      <c r="L104" s="630"/>
      <c r="M104" s="630"/>
      <c r="N104" s="630"/>
      <c r="O104" s="630"/>
      <c r="P104" s="630"/>
      <c r="Q104" s="630"/>
      <c r="R104" s="630"/>
      <c r="S104" s="630"/>
      <c r="T104" s="630"/>
      <c r="U104" s="630"/>
      <c r="V104" s="630"/>
      <c r="W104" s="630"/>
      <c r="X104" s="630"/>
      <c r="Y104" s="630"/>
    </row>
    <row r="105" spans="3:25" s="334" customFormat="1">
      <c r="C105" s="632"/>
      <c r="D105" s="331"/>
      <c r="E105" s="331">
        <f>3.52-0.28-0.09</f>
        <v>3.1500000000000004</v>
      </c>
      <c r="F105" s="331">
        <v>1</v>
      </c>
      <c r="G105" s="331">
        <f>+E97+E98</f>
        <v>3.2372566611769189</v>
      </c>
      <c r="H105" s="331"/>
      <c r="I105" s="332"/>
      <c r="K105" s="630"/>
      <c r="L105" s="630"/>
      <c r="M105" s="630"/>
      <c r="N105" s="630"/>
      <c r="O105" s="630"/>
      <c r="P105" s="630"/>
      <c r="Q105" s="630"/>
      <c r="R105" s="630"/>
      <c r="S105" s="630"/>
      <c r="T105" s="630"/>
      <c r="U105" s="630"/>
      <c r="V105" s="630"/>
      <c r="W105" s="630"/>
      <c r="X105" s="630"/>
      <c r="Y105" s="630"/>
    </row>
    <row r="106" spans="3:25" s="334" customFormat="1">
      <c r="C106" s="633"/>
      <c r="K106" s="630"/>
      <c r="L106" s="630"/>
      <c r="M106" s="630"/>
      <c r="N106" s="630"/>
      <c r="O106" s="630"/>
      <c r="P106" s="630"/>
      <c r="Q106" s="630"/>
      <c r="R106" s="630"/>
      <c r="S106" s="630"/>
      <c r="T106" s="630"/>
      <c r="U106" s="630"/>
      <c r="V106" s="630"/>
      <c r="W106" s="630"/>
      <c r="X106" s="630"/>
      <c r="Y106" s="630"/>
    </row>
    <row r="107" spans="3:25" s="334" customFormat="1">
      <c r="C107" s="634" t="s">
        <v>367</v>
      </c>
      <c r="D107" s="635">
        <f t="shared" ref="D107" si="37">+E107</f>
        <v>3.5200000000000005</v>
      </c>
      <c r="E107" s="338">
        <f t="shared" ref="E107" si="38">+PRODUCT(F107:I107)</f>
        <v>3.5200000000000005</v>
      </c>
      <c r="F107" s="338">
        <v>1</v>
      </c>
      <c r="G107" s="338">
        <f>+G69-2*H64</f>
        <v>2.2000000000000002</v>
      </c>
      <c r="H107" s="338">
        <f>+H69-2*H64</f>
        <v>1.6</v>
      </c>
      <c r="I107" s="339"/>
      <c r="K107" s="630"/>
      <c r="L107" s="630"/>
      <c r="M107" s="630"/>
      <c r="N107" s="630"/>
      <c r="O107" s="630"/>
      <c r="P107" s="630"/>
      <c r="Q107" s="630"/>
      <c r="R107" s="630"/>
      <c r="S107" s="630"/>
      <c r="T107" s="630"/>
      <c r="U107" s="630"/>
      <c r="V107" s="630"/>
      <c r="W107" s="630"/>
      <c r="X107" s="630"/>
      <c r="Y107" s="630"/>
    </row>
    <row r="108" spans="3:25" s="334" customFormat="1">
      <c r="C108" s="633"/>
      <c r="K108" s="630"/>
      <c r="L108" s="630"/>
      <c r="M108" s="630"/>
      <c r="N108" s="630"/>
      <c r="O108" s="630"/>
      <c r="P108" s="630"/>
      <c r="Q108" s="630"/>
      <c r="R108" s="630"/>
      <c r="S108" s="630"/>
      <c r="T108" s="630"/>
      <c r="U108" s="630"/>
      <c r="V108" s="630"/>
      <c r="W108" s="630"/>
      <c r="X108" s="630"/>
      <c r="Y108" s="630"/>
    </row>
    <row r="109" spans="3:25" s="334" customFormat="1">
      <c r="C109" s="634" t="s">
        <v>368</v>
      </c>
      <c r="D109" s="635">
        <f t="shared" ref="D109" si="39">+E109</f>
        <v>1.39</v>
      </c>
      <c r="E109" s="338">
        <f t="shared" ref="E109" si="40">+PRODUCT(F109:I109)</f>
        <v>1.39</v>
      </c>
      <c r="F109" s="338">
        <v>1</v>
      </c>
      <c r="G109" s="338">
        <f>+E66</f>
        <v>1.39</v>
      </c>
      <c r="H109" s="338"/>
      <c r="I109" s="339"/>
      <c r="K109" s="630"/>
      <c r="L109" s="630"/>
      <c r="M109" s="630"/>
      <c r="N109" s="630"/>
      <c r="O109" s="630"/>
      <c r="P109" s="630"/>
      <c r="Q109" s="630"/>
      <c r="R109" s="630"/>
      <c r="S109" s="630"/>
      <c r="T109" s="630"/>
      <c r="U109" s="630"/>
      <c r="V109" s="630"/>
      <c r="W109" s="630"/>
      <c r="X109" s="630"/>
      <c r="Y109" s="630"/>
    </row>
    <row r="110" spans="3:25" s="334" customFormat="1">
      <c r="C110" s="633"/>
      <c r="K110" s="630"/>
      <c r="L110" s="630"/>
      <c r="M110" s="630"/>
      <c r="N110" s="630"/>
      <c r="O110" s="630"/>
      <c r="P110" s="630"/>
      <c r="Q110" s="630"/>
      <c r="R110" s="630"/>
      <c r="S110" s="630"/>
      <c r="T110" s="630"/>
      <c r="U110" s="630"/>
      <c r="V110" s="630"/>
      <c r="W110" s="630"/>
      <c r="X110" s="630"/>
      <c r="Y110" s="630"/>
    </row>
    <row r="111" spans="3:25" s="334" customFormat="1">
      <c r="C111" s="634" t="s">
        <v>369</v>
      </c>
      <c r="D111" s="635">
        <f t="shared" ref="D111" si="41">+E111</f>
        <v>1</v>
      </c>
      <c r="E111" s="338">
        <f t="shared" ref="E111" si="42">+PRODUCT(F111:I111)</f>
        <v>1</v>
      </c>
      <c r="F111" s="338">
        <v>1</v>
      </c>
      <c r="G111" s="338">
        <v>1</v>
      </c>
      <c r="H111" s="338"/>
      <c r="I111" s="339"/>
      <c r="K111" s="630"/>
      <c r="L111" s="630"/>
      <c r="M111" s="630"/>
      <c r="N111" s="630"/>
      <c r="O111" s="630"/>
      <c r="P111" s="630"/>
      <c r="Q111" s="630"/>
      <c r="R111" s="630"/>
      <c r="S111" s="630"/>
      <c r="T111" s="630"/>
      <c r="U111" s="630"/>
      <c r="V111" s="630"/>
      <c r="W111" s="630"/>
      <c r="X111" s="630"/>
      <c r="Y111" s="630"/>
    </row>
    <row r="112" spans="3:25" s="334" customFormat="1">
      <c r="C112" s="633"/>
      <c r="K112" s="630"/>
      <c r="L112" s="630"/>
      <c r="M112" s="630"/>
      <c r="N112" s="630"/>
      <c r="O112" s="630"/>
      <c r="P112" s="630"/>
      <c r="Q112" s="630"/>
      <c r="R112" s="630"/>
      <c r="S112" s="630"/>
      <c r="T112" s="630"/>
      <c r="U112" s="630"/>
      <c r="V112" s="630"/>
      <c r="W112" s="630"/>
      <c r="X112" s="630"/>
      <c r="Y112" s="630"/>
    </row>
    <row r="113" spans="3:25" s="334" customFormat="1">
      <c r="C113" s="634" t="s">
        <v>370</v>
      </c>
      <c r="D113" s="635">
        <f t="shared" ref="D113" si="43">+E113</f>
        <v>1</v>
      </c>
      <c r="E113" s="338">
        <f t="shared" ref="E113" si="44">+PRODUCT(F113:I113)</f>
        <v>1</v>
      </c>
      <c r="F113" s="338">
        <v>1</v>
      </c>
      <c r="G113" s="338">
        <v>1</v>
      </c>
      <c r="H113" s="338"/>
      <c r="I113" s="339"/>
      <c r="K113" s="630"/>
      <c r="L113" s="630"/>
      <c r="M113" s="630"/>
      <c r="N113" s="630"/>
      <c r="O113" s="630"/>
      <c r="P113" s="630"/>
      <c r="Q113" s="630"/>
      <c r="R113" s="630"/>
      <c r="S113" s="630"/>
      <c r="T113" s="630"/>
      <c r="U113" s="630"/>
      <c r="V113" s="630"/>
      <c r="W113" s="630"/>
      <c r="X113" s="630"/>
      <c r="Y113" s="630"/>
    </row>
    <row r="114" spans="3:25" s="630" customFormat="1">
      <c r="D114" s="334"/>
      <c r="E114" s="334"/>
      <c r="F114" s="334"/>
      <c r="G114" s="334"/>
      <c r="H114" s="334"/>
      <c r="I114" s="636"/>
      <c r="J114" s="334"/>
    </row>
    <row r="116" spans="3:25" s="375" customFormat="1" ht="21">
      <c r="C116" s="372" t="s">
        <v>388</v>
      </c>
      <c r="D116" s="373"/>
      <c r="E116" s="373"/>
      <c r="F116" s="373"/>
      <c r="G116" s="373"/>
      <c r="H116" s="373"/>
      <c r="I116" s="374"/>
    </row>
    <row r="117" spans="3:25" s="313" customFormat="1">
      <c r="C117" s="316"/>
      <c r="D117" s="314" t="s">
        <v>329</v>
      </c>
      <c r="E117" s="314">
        <v>2.6</v>
      </c>
      <c r="F117" s="314"/>
      <c r="G117" s="314" t="s">
        <v>330</v>
      </c>
      <c r="H117" s="314">
        <v>0.2</v>
      </c>
      <c r="I117" s="315"/>
    </row>
    <row r="118" spans="3:25" s="313" customFormat="1">
      <c r="C118" s="316"/>
      <c r="D118" s="314" t="s">
        <v>331</v>
      </c>
      <c r="E118" s="314">
        <v>2</v>
      </c>
      <c r="F118" s="314"/>
      <c r="G118" s="314" t="s">
        <v>332</v>
      </c>
      <c r="H118" s="314">
        <v>0.2</v>
      </c>
      <c r="I118" s="315"/>
    </row>
    <row r="119" spans="3:25" s="313" customFormat="1">
      <c r="C119" s="316"/>
      <c r="D119" s="314" t="s">
        <v>333</v>
      </c>
      <c r="E119" s="314">
        <f>+E120+0.6</f>
        <v>2.64</v>
      </c>
      <c r="F119" s="314"/>
      <c r="G119" s="314" t="s">
        <v>334</v>
      </c>
      <c r="H119" s="314">
        <v>0.2</v>
      </c>
      <c r="I119" s="315"/>
    </row>
    <row r="120" spans="3:25" s="313" customFormat="1">
      <c r="C120" s="316"/>
      <c r="D120" s="314" t="s">
        <v>335</v>
      </c>
      <c r="E120" s="314">
        <v>2.04</v>
      </c>
      <c r="F120" s="314"/>
      <c r="G120" s="314"/>
      <c r="H120" s="314"/>
      <c r="I120" s="315"/>
    </row>
    <row r="121" spans="3:25" s="313" customFormat="1">
      <c r="C121" s="316"/>
      <c r="I121" s="315"/>
    </row>
    <row r="122" spans="3:25" s="313" customFormat="1">
      <c r="C122" s="312"/>
      <c r="F122" s="313" t="s">
        <v>227</v>
      </c>
      <c r="G122" s="313" t="s">
        <v>336</v>
      </c>
      <c r="H122" s="313" t="s">
        <v>226</v>
      </c>
      <c r="I122" s="313" t="s">
        <v>2</v>
      </c>
    </row>
    <row r="123" spans="3:25">
      <c r="C123" s="317" t="s">
        <v>337</v>
      </c>
      <c r="D123" s="318">
        <f>+E123</f>
        <v>5.2</v>
      </c>
      <c r="E123" s="319">
        <f>+PRODUCT(F123:I123)</f>
        <v>5.2</v>
      </c>
      <c r="F123" s="320">
        <v>1</v>
      </c>
      <c r="G123" s="320">
        <f>+E117</f>
        <v>2.6</v>
      </c>
      <c r="H123" s="320">
        <f>+E118</f>
        <v>2</v>
      </c>
      <c r="I123" s="321"/>
    </row>
    <row r="124" spans="3:25">
      <c r="C124" s="322" t="s">
        <v>338</v>
      </c>
      <c r="D124" s="323">
        <f t="shared" ref="D124" si="45">+E124</f>
        <v>5.2</v>
      </c>
      <c r="E124" s="324">
        <f t="shared" ref="E124:E130" si="46">+PRODUCT(F124:I124)</f>
        <v>5.2</v>
      </c>
      <c r="F124" s="325">
        <f t="shared" ref="F124:H125" si="47">+F123</f>
        <v>1</v>
      </c>
      <c r="G124" s="325">
        <f t="shared" si="47"/>
        <v>2.6</v>
      </c>
      <c r="H124" s="325">
        <f t="shared" si="47"/>
        <v>2</v>
      </c>
      <c r="I124" s="326"/>
    </row>
    <row r="125" spans="3:25">
      <c r="C125" s="322" t="s">
        <v>339</v>
      </c>
      <c r="D125" s="323">
        <f>SUM(E125:E127)</f>
        <v>16.563600000000001</v>
      </c>
      <c r="E125" s="324">
        <f t="shared" si="46"/>
        <v>13.728000000000002</v>
      </c>
      <c r="F125" s="325">
        <f t="shared" si="47"/>
        <v>1</v>
      </c>
      <c r="G125" s="325">
        <f t="shared" si="47"/>
        <v>2.6</v>
      </c>
      <c r="H125" s="325">
        <f t="shared" si="47"/>
        <v>2</v>
      </c>
      <c r="I125" s="326">
        <f>+E119</f>
        <v>2.64</v>
      </c>
    </row>
    <row r="126" spans="3:25">
      <c r="C126" s="327" t="s">
        <v>340</v>
      </c>
      <c r="D126" s="324"/>
      <c r="E126" s="324">
        <f t="shared" si="46"/>
        <v>2.7456</v>
      </c>
      <c r="F126" s="325">
        <v>1</v>
      </c>
      <c r="G126" s="325">
        <f>+(G125*2+1.2)+H125*2</f>
        <v>10.4</v>
      </c>
      <c r="H126" s="325">
        <v>0.1</v>
      </c>
      <c r="I126" s="326">
        <f>+I125</f>
        <v>2.64</v>
      </c>
    </row>
    <row r="127" spans="3:25">
      <c r="C127" s="327"/>
      <c r="D127" s="324"/>
      <c r="E127" s="324">
        <f t="shared" si="46"/>
        <v>0.09</v>
      </c>
      <c r="F127" s="325">
        <v>1</v>
      </c>
      <c r="G127" s="325">
        <v>0.3</v>
      </c>
      <c r="H127" s="325">
        <v>0.3</v>
      </c>
      <c r="I127" s="326">
        <v>1</v>
      </c>
    </row>
    <row r="128" spans="3:25">
      <c r="C128" s="322" t="s">
        <v>341</v>
      </c>
      <c r="D128" s="323">
        <f>+E128</f>
        <v>5.2</v>
      </c>
      <c r="E128" s="324">
        <f t="shared" si="46"/>
        <v>5.2</v>
      </c>
      <c r="F128" s="325">
        <f>+F125</f>
        <v>1</v>
      </c>
      <c r="G128" s="325">
        <f>+G125</f>
        <v>2.6</v>
      </c>
      <c r="H128" s="325">
        <f>+H125</f>
        <v>2</v>
      </c>
      <c r="I128" s="326"/>
    </row>
    <row r="129" spans="3:25">
      <c r="C129" s="322" t="s">
        <v>342</v>
      </c>
      <c r="D129" s="323">
        <f t="shared" ref="D129:D130" si="48">+E129</f>
        <v>2.7456</v>
      </c>
      <c r="E129" s="324">
        <f t="shared" si="46"/>
        <v>2.7456</v>
      </c>
      <c r="F129" s="325">
        <f>+E126</f>
        <v>2.7456</v>
      </c>
      <c r="G129" s="325"/>
      <c r="H129" s="325"/>
      <c r="I129" s="326"/>
    </row>
    <row r="130" spans="3:25">
      <c r="C130" s="328" t="s">
        <v>343</v>
      </c>
      <c r="D130" s="329">
        <f t="shared" si="48"/>
        <v>13.818000000000001</v>
      </c>
      <c r="E130" s="330">
        <f t="shared" si="46"/>
        <v>13.818000000000001</v>
      </c>
      <c r="F130" s="331">
        <f>+D125-D129</f>
        <v>13.818000000000001</v>
      </c>
      <c r="G130" s="331"/>
      <c r="H130" s="331"/>
      <c r="I130" s="332"/>
    </row>
    <row r="131" spans="3:25">
      <c r="C131" s="333"/>
      <c r="D131" s="310"/>
      <c r="E131" s="314"/>
      <c r="F131" s="334"/>
      <c r="G131" s="334"/>
      <c r="H131" s="334"/>
      <c r="I131" s="334"/>
    </row>
    <row r="132" spans="3:25">
      <c r="C132" s="335" t="s">
        <v>344</v>
      </c>
      <c r="D132" s="336">
        <f t="shared" ref="D132" si="49">+E132</f>
        <v>6.3E-2</v>
      </c>
      <c r="E132" s="337">
        <f t="shared" ref="E132" si="50">+PRODUCT(F132:I132)</f>
        <v>6.3E-2</v>
      </c>
      <c r="F132" s="338">
        <v>1</v>
      </c>
      <c r="G132" s="338">
        <v>0.3</v>
      </c>
      <c r="H132" s="338">
        <v>0.3</v>
      </c>
      <c r="I132" s="339">
        <v>0.7</v>
      </c>
    </row>
    <row r="133" spans="3:25">
      <c r="C133" s="333"/>
      <c r="D133" s="310"/>
      <c r="E133" s="314"/>
      <c r="F133" s="334"/>
      <c r="G133" s="334"/>
      <c r="H133" s="334"/>
      <c r="I133" s="334"/>
    </row>
    <row r="134" spans="3:25">
      <c r="C134" s="335" t="s">
        <v>345</v>
      </c>
      <c r="D134" s="336">
        <f t="shared" ref="D134" si="51">+E134</f>
        <v>0.52</v>
      </c>
      <c r="E134" s="337">
        <f t="shared" ref="E134" si="52">+PRODUCT(F134:I134)</f>
        <v>0.52</v>
      </c>
      <c r="F134" s="338">
        <f>+F123</f>
        <v>1</v>
      </c>
      <c r="G134" s="338">
        <f>+G123</f>
        <v>2.6</v>
      </c>
      <c r="H134" s="338">
        <f>+H123</f>
        <v>2</v>
      </c>
      <c r="I134" s="339">
        <v>0.1</v>
      </c>
    </row>
    <row r="135" spans="3:25">
      <c r="C135" s="333"/>
      <c r="D135" s="340"/>
      <c r="F135" s="334"/>
      <c r="G135" s="334"/>
      <c r="H135" s="334"/>
      <c r="I135" s="334"/>
      <c r="K135" s="311" t="s">
        <v>346</v>
      </c>
      <c r="L135" s="309" t="s">
        <v>336</v>
      </c>
      <c r="M135" s="312" t="s">
        <v>347</v>
      </c>
      <c r="N135" s="309" t="s">
        <v>227</v>
      </c>
      <c r="O135" s="309" t="s">
        <v>348</v>
      </c>
      <c r="P135" s="309" t="s">
        <v>349</v>
      </c>
      <c r="Q135" s="309" t="s">
        <v>350</v>
      </c>
    </row>
    <row r="136" spans="3:25">
      <c r="C136" s="317" t="s">
        <v>351</v>
      </c>
      <c r="D136" s="341">
        <f t="shared" ref="D136:D138" si="53">+E136</f>
        <v>5.4450000000000005E-2</v>
      </c>
      <c r="E136" s="319">
        <f t="shared" ref="E136:E138" si="54">+PRODUCT(F136:I136)</f>
        <v>5.4450000000000005E-2</v>
      </c>
      <c r="F136" s="320">
        <v>1</v>
      </c>
      <c r="G136" s="342">
        <v>0.55000000000000004</v>
      </c>
      <c r="H136" s="320">
        <v>0.22</v>
      </c>
      <c r="I136" s="321">
        <v>0.45</v>
      </c>
      <c r="K136" s="312" t="s">
        <v>352</v>
      </c>
      <c r="L136" s="312">
        <f>+G136+0.3*2-0.08</f>
        <v>1.0699999999999998</v>
      </c>
      <c r="M136" s="312">
        <v>2</v>
      </c>
      <c r="N136" s="312">
        <f>ROUND((G136-0.08)/0.15+1,0)</f>
        <v>4</v>
      </c>
      <c r="O136" s="343">
        <v>0.375</v>
      </c>
      <c r="P136" s="312">
        <v>0.56000000000000005</v>
      </c>
      <c r="Q136" s="313">
        <f>+L136*M136*N136*P136</f>
        <v>4.7935999999999996</v>
      </c>
    </row>
    <row r="137" spans="3:25">
      <c r="C137" s="322" t="s">
        <v>353</v>
      </c>
      <c r="D137" s="344">
        <f t="shared" si="53"/>
        <v>0.73919999999999997</v>
      </c>
      <c r="E137" s="324">
        <f t="shared" si="54"/>
        <v>0.73919999999999997</v>
      </c>
      <c r="F137" s="325">
        <v>1</v>
      </c>
      <c r="G137" s="325">
        <f>+G136*2+H136*2</f>
        <v>1.54</v>
      </c>
      <c r="H137" s="325"/>
      <c r="I137" s="326">
        <v>0.48</v>
      </c>
    </row>
    <row r="138" spans="3:25">
      <c r="C138" s="328" t="s">
        <v>354</v>
      </c>
      <c r="D138" s="345">
        <f t="shared" si="53"/>
        <v>4.7935999999999996</v>
      </c>
      <c r="E138" s="330">
        <f t="shared" si="54"/>
        <v>4.7935999999999996</v>
      </c>
      <c r="F138" s="331">
        <f>+Q136</f>
        <v>4.7935999999999996</v>
      </c>
      <c r="G138" s="331"/>
      <c r="H138" s="331"/>
      <c r="I138" s="332"/>
    </row>
    <row r="139" spans="3:25">
      <c r="C139" s="333"/>
      <c r="D139" s="310"/>
      <c r="E139" s="314"/>
      <c r="F139" s="334"/>
      <c r="G139" s="334"/>
      <c r="H139" s="334"/>
      <c r="I139" s="334"/>
      <c r="K139" s="311" t="s">
        <v>355</v>
      </c>
      <c r="L139" s="309" t="s">
        <v>336</v>
      </c>
      <c r="M139" s="312" t="s">
        <v>347</v>
      </c>
      <c r="N139" s="309" t="s">
        <v>227</v>
      </c>
      <c r="O139" s="309" t="s">
        <v>348</v>
      </c>
      <c r="P139" s="309" t="s">
        <v>349</v>
      </c>
      <c r="Q139" s="309" t="s">
        <v>350</v>
      </c>
    </row>
    <row r="140" spans="3:25">
      <c r="C140" s="317" t="s">
        <v>356</v>
      </c>
      <c r="D140" s="341">
        <f t="shared" ref="D140:D142" si="55">+E140</f>
        <v>1.04</v>
      </c>
      <c r="E140" s="319">
        <f t="shared" ref="E140:E142" si="56">+PRODUCT(F140:I140)</f>
        <v>1.04</v>
      </c>
      <c r="F140" s="320">
        <v>1</v>
      </c>
      <c r="G140" s="320">
        <f>+E117</f>
        <v>2.6</v>
      </c>
      <c r="H140" s="320">
        <f>+E118</f>
        <v>2</v>
      </c>
      <c r="I140" s="321">
        <f>+H117</f>
        <v>0.2</v>
      </c>
      <c r="K140" s="312" t="s">
        <v>352</v>
      </c>
      <c r="L140" s="312">
        <f>+E117+0.3*2-0.08</f>
        <v>3.12</v>
      </c>
      <c r="M140" s="312">
        <v>2</v>
      </c>
      <c r="N140" s="312">
        <f>ROUND((E118-0.08)/0.25+1,0)</f>
        <v>9</v>
      </c>
      <c r="O140" s="343">
        <v>0.375</v>
      </c>
      <c r="P140" s="312">
        <v>0.56000000000000005</v>
      </c>
      <c r="Q140" s="313">
        <f>+L140*M140*N140*P140</f>
        <v>31.449600000000004</v>
      </c>
    </row>
    <row r="141" spans="3:25">
      <c r="C141" s="322" t="s">
        <v>353</v>
      </c>
      <c r="D141" s="344">
        <f t="shared" si="55"/>
        <v>1.8399999999999999</v>
      </c>
      <c r="E141" s="324">
        <f t="shared" si="56"/>
        <v>1.8399999999999999</v>
      </c>
      <c r="F141" s="325">
        <v>1</v>
      </c>
      <c r="G141" s="325">
        <f>+G140*2+H140*2</f>
        <v>9.1999999999999993</v>
      </c>
      <c r="H141" s="325"/>
      <c r="I141" s="326">
        <f>+I140</f>
        <v>0.2</v>
      </c>
      <c r="K141" s="312" t="s">
        <v>357</v>
      </c>
      <c r="L141" s="312">
        <f>+E118+0.3*2-0.08</f>
        <v>2.52</v>
      </c>
      <c r="M141" s="312">
        <v>2</v>
      </c>
      <c r="N141" s="312">
        <f>ROUND((E117-0.08)/0.25+1,0)</f>
        <v>11</v>
      </c>
      <c r="O141" s="343">
        <v>0.375</v>
      </c>
      <c r="P141" s="312">
        <v>0.56000000000000005</v>
      </c>
      <c r="Q141" s="313">
        <f>+L141*M141*N141*P141</f>
        <v>31.046400000000002</v>
      </c>
    </row>
    <row r="142" spans="3:25">
      <c r="C142" s="328" t="s">
        <v>354</v>
      </c>
      <c r="D142" s="345">
        <f t="shared" si="55"/>
        <v>62.496000000000009</v>
      </c>
      <c r="E142" s="330">
        <f t="shared" si="56"/>
        <v>62.496000000000009</v>
      </c>
      <c r="F142" s="331">
        <f>+Q142</f>
        <v>62.496000000000009</v>
      </c>
      <c r="G142" s="331"/>
      <c r="H142" s="331"/>
      <c r="I142" s="332"/>
      <c r="Q142" s="310">
        <f>SUM(Q140:Q141)</f>
        <v>62.496000000000009</v>
      </c>
    </row>
    <row r="143" spans="3:25">
      <c r="C143" s="333"/>
      <c r="D143" s="310"/>
      <c r="E143" s="314"/>
      <c r="F143" s="334"/>
      <c r="G143" s="334"/>
      <c r="H143" s="334"/>
      <c r="I143" s="334"/>
    </row>
    <row r="144" spans="3:25">
      <c r="C144" s="317" t="s">
        <v>358</v>
      </c>
      <c r="D144" s="341">
        <f t="shared" ref="D144" si="57">+E144</f>
        <v>3.4272000000000005</v>
      </c>
      <c r="E144" s="319">
        <f t="shared" ref="E144:E147" si="58">+PRODUCT(F144:I144)</f>
        <v>3.4272000000000005</v>
      </c>
      <c r="F144" s="320">
        <v>1</v>
      </c>
      <c r="G144" s="320">
        <f>+E117*2+(E118-2*H118)*2</f>
        <v>8.4</v>
      </c>
      <c r="H144" s="320">
        <f>+H118</f>
        <v>0.2</v>
      </c>
      <c r="I144" s="321">
        <f>+E120</f>
        <v>2.04</v>
      </c>
      <c r="K144" s="311" t="s">
        <v>359</v>
      </c>
      <c r="L144" s="309" t="s">
        <v>336</v>
      </c>
      <c r="M144" s="312" t="s">
        <v>360</v>
      </c>
      <c r="N144" s="309" t="s">
        <v>227</v>
      </c>
      <c r="O144" s="309" t="s">
        <v>348</v>
      </c>
      <c r="P144" s="309" t="s">
        <v>349</v>
      </c>
      <c r="Q144" s="309" t="s">
        <v>350</v>
      </c>
      <c r="S144" s="311" t="s">
        <v>361</v>
      </c>
      <c r="T144" s="309" t="s">
        <v>336</v>
      </c>
      <c r="U144" s="312" t="s">
        <v>360</v>
      </c>
      <c r="V144" s="309" t="s">
        <v>227</v>
      </c>
      <c r="W144" s="309" t="s">
        <v>348</v>
      </c>
      <c r="X144" s="309" t="s">
        <v>349</v>
      </c>
      <c r="Y144" s="309" t="s">
        <v>350</v>
      </c>
    </row>
    <row r="145" spans="3:25">
      <c r="C145" s="322" t="s">
        <v>353</v>
      </c>
      <c r="D145" s="344">
        <f>+E145+E146</f>
        <v>34.271999999999998</v>
      </c>
      <c r="E145" s="324">
        <f t="shared" si="58"/>
        <v>18.767999999999997</v>
      </c>
      <c r="F145" s="325">
        <v>1</v>
      </c>
      <c r="G145" s="325">
        <f>+(E117+E118)*2</f>
        <v>9.1999999999999993</v>
      </c>
      <c r="H145" s="325"/>
      <c r="I145" s="326">
        <f>+I144</f>
        <v>2.04</v>
      </c>
      <c r="K145" s="312" t="s">
        <v>362</v>
      </c>
      <c r="L145" s="312">
        <f>+E117+0.3*2-0.08</f>
        <v>3.12</v>
      </c>
      <c r="M145" s="312">
        <f>2+2</f>
        <v>4</v>
      </c>
      <c r="N145" s="312">
        <f>ROUND((E120-0.08)/0.25+1,0)</f>
        <v>9</v>
      </c>
      <c r="O145" s="343">
        <v>0.375</v>
      </c>
      <c r="P145" s="312">
        <v>0.56000000000000005</v>
      </c>
      <c r="Q145" s="313">
        <f t="shared" ref="Q145:Q146" si="59">+L145*M145*N145*P145</f>
        <v>62.899200000000008</v>
      </c>
      <c r="S145" s="312" t="s">
        <v>362</v>
      </c>
      <c r="T145" s="312">
        <f>+E118+0.3*2-0.08</f>
        <v>2.52</v>
      </c>
      <c r="U145" s="312">
        <f>2+2</f>
        <v>4</v>
      </c>
      <c r="V145" s="312">
        <f>ROUND((E120-0.08)/0.25+1,0)</f>
        <v>9</v>
      </c>
      <c r="W145" s="343">
        <v>0.375</v>
      </c>
      <c r="X145" s="312">
        <v>0.56000000000000005</v>
      </c>
      <c r="Y145" s="313">
        <f t="shared" ref="Y145:Y146" si="60">+T145*U145*V145*X145</f>
        <v>50.803200000000004</v>
      </c>
    </row>
    <row r="146" spans="3:25">
      <c r="C146" s="322"/>
      <c r="D146" s="344"/>
      <c r="E146" s="324">
        <f t="shared" si="58"/>
        <v>15.504000000000001</v>
      </c>
      <c r="F146" s="325">
        <v>1</v>
      </c>
      <c r="G146" s="325">
        <f>+(E117-2*H118)*2+(E118-2*H118)*2</f>
        <v>7.6000000000000005</v>
      </c>
      <c r="H146" s="325"/>
      <c r="I146" s="326">
        <f>+I145</f>
        <v>2.04</v>
      </c>
      <c r="K146" s="312" t="s">
        <v>363</v>
      </c>
      <c r="L146" s="312">
        <f>+E120+0.3*2-0.04+H119+H117</f>
        <v>3.0000000000000004</v>
      </c>
      <c r="M146" s="312">
        <f>2+2</f>
        <v>4</v>
      </c>
      <c r="N146" s="312">
        <f>ROUND((E117-0.08)/0.25+1,0)</f>
        <v>11</v>
      </c>
      <c r="O146" s="343">
        <v>0.375</v>
      </c>
      <c r="P146" s="312">
        <v>0.56000000000000005</v>
      </c>
      <c r="Q146" s="313">
        <f t="shared" si="59"/>
        <v>73.920000000000016</v>
      </c>
      <c r="S146" s="312" t="s">
        <v>363</v>
      </c>
      <c r="T146" s="312">
        <f>+E120+0.3*2-0.04+H119+H117</f>
        <v>3.0000000000000004</v>
      </c>
      <c r="U146" s="312">
        <f>2+2</f>
        <v>4</v>
      </c>
      <c r="V146" s="312">
        <f>ROUND((E118-0.08)/0.25+1,0)</f>
        <v>9</v>
      </c>
      <c r="W146" s="343">
        <v>0.375</v>
      </c>
      <c r="X146" s="312">
        <v>0.56000000000000005</v>
      </c>
      <c r="Y146" s="313">
        <f t="shared" si="60"/>
        <v>60.480000000000011</v>
      </c>
    </row>
    <row r="147" spans="3:25">
      <c r="C147" s="328" t="s">
        <v>354</v>
      </c>
      <c r="D147" s="345">
        <f t="shared" ref="D147" si="61">+E147</f>
        <v>248.10240000000005</v>
      </c>
      <c r="E147" s="330">
        <f t="shared" si="58"/>
        <v>248.10240000000005</v>
      </c>
      <c r="F147" s="331">
        <f>+Q147+Y147</f>
        <v>248.10240000000005</v>
      </c>
      <c r="G147" s="331"/>
      <c r="H147" s="331"/>
      <c r="I147" s="332"/>
      <c r="Q147" s="310">
        <f>SUM(Q145:Q146)</f>
        <v>136.81920000000002</v>
      </c>
      <c r="Y147" s="310">
        <f>SUM(Y145:Y146)</f>
        <v>111.28320000000002</v>
      </c>
    </row>
    <row r="148" spans="3:25">
      <c r="C148" s="346"/>
      <c r="E148" s="314"/>
      <c r="F148" s="334"/>
      <c r="G148" s="334"/>
      <c r="H148" s="334"/>
      <c r="I148" s="334"/>
    </row>
    <row r="149" spans="3:25">
      <c r="C149" s="317" t="s">
        <v>364</v>
      </c>
      <c r="D149" s="341">
        <f>+E149+E150</f>
        <v>0.98345133223538372</v>
      </c>
      <c r="E149" s="319">
        <f t="shared" ref="E149:E155" si="62">+PRODUCT(F149:I149)</f>
        <v>1.04</v>
      </c>
      <c r="F149" s="320">
        <v>1</v>
      </c>
      <c r="G149" s="320">
        <f>+G140</f>
        <v>2.6</v>
      </c>
      <c r="H149" s="320">
        <f>+H140</f>
        <v>2</v>
      </c>
      <c r="I149" s="321">
        <f>+H119</f>
        <v>0.2</v>
      </c>
      <c r="K149" s="311" t="s">
        <v>365</v>
      </c>
      <c r="L149" s="309" t="s">
        <v>336</v>
      </c>
      <c r="M149" s="312" t="s">
        <v>347</v>
      </c>
      <c r="N149" s="309" t="s">
        <v>227</v>
      </c>
      <c r="O149" s="309" t="s">
        <v>348</v>
      </c>
      <c r="P149" s="309" t="s">
        <v>349</v>
      </c>
      <c r="Q149" s="309" t="s">
        <v>350</v>
      </c>
    </row>
    <row r="150" spans="3:25">
      <c r="C150" s="322"/>
      <c r="D150" s="344"/>
      <c r="E150" s="324">
        <f t="shared" si="62"/>
        <v>-5.6548667764616284E-2</v>
      </c>
      <c r="F150" s="325">
        <v>-1</v>
      </c>
      <c r="G150" s="325">
        <f>+PI()*0.3^2</f>
        <v>0.28274333882308139</v>
      </c>
      <c r="H150" s="325"/>
      <c r="I150" s="326">
        <f>+I149</f>
        <v>0.2</v>
      </c>
      <c r="K150" s="312" t="s">
        <v>352</v>
      </c>
      <c r="L150" s="312">
        <f>+E117+0.3*2-0.08</f>
        <v>3.12</v>
      </c>
      <c r="M150" s="312">
        <v>2</v>
      </c>
      <c r="N150" s="312">
        <f>ROUND((E118-0.08)/0.25+1,0)</f>
        <v>9</v>
      </c>
      <c r="O150" s="343">
        <v>0.375</v>
      </c>
      <c r="P150" s="312">
        <v>0.56000000000000005</v>
      </c>
      <c r="Q150" s="313">
        <f>+L150*M150*N150*P150*1.05</f>
        <v>33.022080000000003</v>
      </c>
    </row>
    <row r="151" spans="3:25">
      <c r="C151" s="322" t="s">
        <v>353</v>
      </c>
      <c r="D151" s="344">
        <f>SUM(E151:E154)</f>
        <v>4.273982236861551</v>
      </c>
      <c r="E151" s="324">
        <f t="shared" si="62"/>
        <v>3.5200000000000005</v>
      </c>
      <c r="F151" s="325">
        <v>1</v>
      </c>
      <c r="G151" s="325">
        <f>+G149-0.4</f>
        <v>2.2000000000000002</v>
      </c>
      <c r="H151" s="325">
        <f>+H149-0.4</f>
        <v>1.6</v>
      </c>
      <c r="I151" s="326"/>
      <c r="K151" s="312" t="s">
        <v>357</v>
      </c>
      <c r="L151" s="312">
        <f>+E118+0.3*2-0.08</f>
        <v>2.52</v>
      </c>
      <c r="M151" s="312">
        <v>2</v>
      </c>
      <c r="N151" s="312">
        <f>ROUND((E117-0.08)/0.25+1,0)</f>
        <v>11</v>
      </c>
      <c r="O151" s="343">
        <v>0.375</v>
      </c>
      <c r="P151" s="312">
        <v>0.56000000000000005</v>
      </c>
      <c r="Q151" s="313">
        <f>+L151*M151*N151*P151*1.05</f>
        <v>32.59872</v>
      </c>
    </row>
    <row r="152" spans="3:25">
      <c r="C152" s="322"/>
      <c r="D152" s="344"/>
      <c r="E152" s="324">
        <f t="shared" si="62"/>
        <v>-0.28274333882308139</v>
      </c>
      <c r="F152" s="325">
        <v>-1</v>
      </c>
      <c r="G152" s="325">
        <f>+G150</f>
        <v>0.28274333882308139</v>
      </c>
      <c r="H152" s="325"/>
      <c r="I152" s="326"/>
      <c r="Q152" s="310">
        <f>SUM(Q150:Q151)</f>
        <v>65.620800000000003</v>
      </c>
    </row>
    <row r="153" spans="3:25">
      <c r="C153" s="322"/>
      <c r="D153" s="344"/>
      <c r="E153" s="324">
        <f t="shared" si="62"/>
        <v>0.56548667764616289</v>
      </c>
      <c r="F153" s="325">
        <v>1</v>
      </c>
      <c r="G153" s="325">
        <f>2*PI()*0.3</f>
        <v>1.8849555921538759</v>
      </c>
      <c r="H153" s="325"/>
      <c r="I153" s="326">
        <f>+E119-E120-H117-0.1</f>
        <v>0.30000000000000004</v>
      </c>
    </row>
    <row r="154" spans="3:25">
      <c r="C154" s="322"/>
      <c r="D154" s="344"/>
      <c r="E154" s="324">
        <f t="shared" si="62"/>
        <v>0.47123889803846897</v>
      </c>
      <c r="F154" s="325">
        <v>1</v>
      </c>
      <c r="G154" s="325">
        <f>2*PI()*0.5</f>
        <v>3.1415926535897931</v>
      </c>
      <c r="H154" s="325"/>
      <c r="I154" s="347">
        <v>0.15</v>
      </c>
    </row>
    <row r="155" spans="3:25" s="313" customFormat="1">
      <c r="C155" s="328" t="s">
        <v>354</v>
      </c>
      <c r="D155" s="345">
        <f t="shared" ref="D155" si="63">+E155</f>
        <v>65.620800000000003</v>
      </c>
      <c r="E155" s="330">
        <f t="shared" si="62"/>
        <v>65.620800000000003</v>
      </c>
      <c r="F155" s="331">
        <f>+Q152</f>
        <v>65.620800000000003</v>
      </c>
      <c r="G155" s="331"/>
      <c r="H155" s="331"/>
      <c r="I155" s="332"/>
      <c r="K155" s="312"/>
      <c r="L155" s="312"/>
      <c r="M155" s="312"/>
      <c r="N155" s="312"/>
      <c r="O155" s="312"/>
      <c r="P155" s="312"/>
      <c r="Q155" s="312"/>
      <c r="R155" s="312"/>
      <c r="S155" s="312"/>
      <c r="T155" s="312"/>
      <c r="U155" s="312"/>
      <c r="V155" s="312"/>
      <c r="W155" s="312"/>
      <c r="X155" s="312"/>
      <c r="Y155" s="312"/>
    </row>
    <row r="156" spans="3:25" s="313" customFormat="1">
      <c r="C156" s="346"/>
      <c r="E156" s="314"/>
      <c r="F156" s="334"/>
      <c r="G156" s="334"/>
      <c r="H156" s="334"/>
      <c r="I156" s="334"/>
      <c r="K156" s="312"/>
      <c r="L156" s="312"/>
      <c r="M156" s="312"/>
      <c r="N156" s="312"/>
      <c r="O156" s="312"/>
      <c r="P156" s="312"/>
      <c r="Q156" s="312"/>
      <c r="R156" s="312"/>
      <c r="S156" s="312"/>
      <c r="T156" s="312"/>
      <c r="U156" s="312"/>
      <c r="V156" s="312"/>
      <c r="W156" s="312"/>
      <c r="X156" s="312"/>
      <c r="Y156" s="312"/>
    </row>
    <row r="157" spans="3:25" s="313" customFormat="1">
      <c r="C157" s="317" t="s">
        <v>366</v>
      </c>
      <c r="D157" s="341">
        <f>+SUM(E157:E159)</f>
        <v>22.261256661176919</v>
      </c>
      <c r="E157" s="319">
        <f t="shared" ref="E157:E159" si="64">+PRODUCT(F157:I157)</f>
        <v>15.504000000000001</v>
      </c>
      <c r="F157" s="320">
        <v>1</v>
      </c>
      <c r="G157" s="320">
        <f>+G146</f>
        <v>7.6000000000000005</v>
      </c>
      <c r="H157" s="320"/>
      <c r="I157" s="321">
        <f>+I144</f>
        <v>2.04</v>
      </c>
      <c r="K157" s="312"/>
      <c r="L157" s="312"/>
      <c r="M157" s="312"/>
      <c r="N157" s="312"/>
      <c r="O157" s="312"/>
      <c r="P157" s="312"/>
      <c r="Q157" s="312"/>
      <c r="R157" s="312"/>
      <c r="S157" s="312"/>
      <c r="T157" s="312"/>
      <c r="U157" s="312"/>
      <c r="V157" s="312"/>
      <c r="W157" s="312"/>
      <c r="X157" s="312"/>
      <c r="Y157" s="312"/>
    </row>
    <row r="158" spans="3:25" s="313" customFormat="1">
      <c r="C158" s="322"/>
      <c r="D158" s="344"/>
      <c r="E158" s="324">
        <f t="shared" si="64"/>
        <v>3.5200000000000005</v>
      </c>
      <c r="F158" s="325">
        <v>1</v>
      </c>
      <c r="G158" s="325">
        <f>+G151</f>
        <v>2.2000000000000002</v>
      </c>
      <c r="H158" s="325">
        <f>+H151</f>
        <v>1.6</v>
      </c>
      <c r="I158" s="326"/>
      <c r="K158" s="312"/>
      <c r="L158" s="312"/>
      <c r="M158" s="312"/>
      <c r="N158" s="312"/>
      <c r="O158" s="312"/>
      <c r="P158" s="312"/>
      <c r="Q158" s="312"/>
      <c r="R158" s="312"/>
      <c r="S158" s="312"/>
      <c r="T158" s="312"/>
      <c r="U158" s="312"/>
      <c r="V158" s="312"/>
      <c r="W158" s="312"/>
      <c r="X158" s="312"/>
      <c r="Y158" s="312"/>
    </row>
    <row r="159" spans="3:25" s="313" customFormat="1">
      <c r="C159" s="328"/>
      <c r="D159" s="345"/>
      <c r="E159" s="330">
        <f t="shared" si="64"/>
        <v>3.2372566611769189</v>
      </c>
      <c r="F159" s="331">
        <v>1</v>
      </c>
      <c r="G159" s="331">
        <f>+E151+E152</f>
        <v>3.2372566611769189</v>
      </c>
      <c r="H159" s="331"/>
      <c r="I159" s="332"/>
      <c r="K159" s="312"/>
      <c r="L159" s="312"/>
      <c r="M159" s="312"/>
      <c r="N159" s="312"/>
      <c r="O159" s="312"/>
      <c r="P159" s="312"/>
      <c r="Q159" s="312"/>
      <c r="R159" s="312"/>
      <c r="S159" s="312"/>
      <c r="T159" s="312"/>
      <c r="U159" s="312"/>
      <c r="V159" s="312"/>
      <c r="W159" s="312"/>
      <c r="X159" s="312"/>
      <c r="Y159" s="312"/>
    </row>
    <row r="160" spans="3:25" s="313" customFormat="1">
      <c r="C160" s="346"/>
      <c r="E160" s="314"/>
      <c r="F160" s="334"/>
      <c r="G160" s="334"/>
      <c r="H160" s="334"/>
      <c r="I160" s="334"/>
      <c r="K160" s="312"/>
      <c r="L160" s="312"/>
      <c r="M160" s="312"/>
      <c r="N160" s="312"/>
      <c r="O160" s="312"/>
      <c r="P160" s="312"/>
      <c r="Q160" s="312"/>
      <c r="R160" s="312"/>
      <c r="S160" s="312"/>
      <c r="T160" s="312"/>
      <c r="U160" s="312"/>
      <c r="V160" s="312"/>
      <c r="W160" s="312"/>
      <c r="X160" s="312"/>
      <c r="Y160" s="312"/>
    </row>
    <row r="161" spans="3:25" s="313" customFormat="1">
      <c r="C161" s="335" t="s">
        <v>367</v>
      </c>
      <c r="D161" s="336">
        <f t="shared" ref="D161" si="65">+E161</f>
        <v>3.5200000000000005</v>
      </c>
      <c r="E161" s="337">
        <f t="shared" ref="E161" si="66">+PRODUCT(F161:I161)</f>
        <v>3.5200000000000005</v>
      </c>
      <c r="F161" s="338">
        <v>1</v>
      </c>
      <c r="G161" s="338">
        <f>+G123-2*H118</f>
        <v>2.2000000000000002</v>
      </c>
      <c r="H161" s="338">
        <f>+H123-2*H118</f>
        <v>1.6</v>
      </c>
      <c r="I161" s="339"/>
      <c r="K161" s="312"/>
      <c r="L161" s="312"/>
      <c r="M161" s="312"/>
      <c r="N161" s="312"/>
      <c r="O161" s="312"/>
      <c r="P161" s="312"/>
      <c r="Q161" s="312"/>
      <c r="R161" s="312"/>
      <c r="S161" s="312"/>
      <c r="T161" s="312"/>
      <c r="U161" s="312"/>
      <c r="V161" s="312"/>
      <c r="W161" s="312"/>
      <c r="X161" s="312"/>
      <c r="Y161" s="312"/>
    </row>
    <row r="162" spans="3:25" s="313" customFormat="1">
      <c r="C162" s="346"/>
      <c r="E162" s="314"/>
      <c r="F162" s="334"/>
      <c r="G162" s="334"/>
      <c r="H162" s="334"/>
      <c r="I162" s="334"/>
      <c r="K162" s="312"/>
      <c r="L162" s="312"/>
      <c r="M162" s="312"/>
      <c r="N162" s="312"/>
      <c r="O162" s="312"/>
      <c r="P162" s="312"/>
      <c r="Q162" s="312"/>
      <c r="R162" s="312"/>
      <c r="S162" s="312"/>
      <c r="T162" s="312"/>
      <c r="U162" s="312"/>
      <c r="V162" s="312"/>
      <c r="W162" s="312"/>
      <c r="X162" s="312"/>
      <c r="Y162" s="312"/>
    </row>
    <row r="163" spans="3:25" s="313" customFormat="1">
      <c r="C163" s="335" t="s">
        <v>368</v>
      </c>
      <c r="D163" s="336">
        <f t="shared" ref="D163" si="67">+E163</f>
        <v>2.04</v>
      </c>
      <c r="E163" s="337">
        <f t="shared" ref="E163" si="68">+PRODUCT(F163:I163)</f>
        <v>2.04</v>
      </c>
      <c r="F163" s="338">
        <v>1</v>
      </c>
      <c r="G163" s="338">
        <f>+E120</f>
        <v>2.04</v>
      </c>
      <c r="H163" s="338"/>
      <c r="I163" s="339"/>
      <c r="K163" s="312"/>
      <c r="L163" s="312"/>
      <c r="M163" s="312"/>
      <c r="N163" s="312"/>
      <c r="O163" s="312"/>
      <c r="P163" s="312"/>
      <c r="Q163" s="312"/>
      <c r="R163" s="312"/>
      <c r="S163" s="312"/>
      <c r="T163" s="312"/>
      <c r="U163" s="312"/>
      <c r="V163" s="312"/>
      <c r="W163" s="312"/>
      <c r="X163" s="312"/>
      <c r="Y163" s="312"/>
    </row>
    <row r="164" spans="3:25" s="313" customFormat="1">
      <c r="C164" s="346"/>
      <c r="E164" s="314"/>
      <c r="F164" s="334"/>
      <c r="G164" s="334"/>
      <c r="H164" s="334"/>
      <c r="I164" s="334"/>
      <c r="K164" s="312"/>
      <c r="L164" s="312"/>
      <c r="M164" s="312"/>
      <c r="N164" s="312"/>
      <c r="O164" s="312"/>
      <c r="P164" s="312"/>
      <c r="Q164" s="312"/>
      <c r="R164" s="312"/>
      <c r="S164" s="312"/>
      <c r="T164" s="312"/>
      <c r="U164" s="312"/>
      <c r="V164" s="312"/>
      <c r="W164" s="312"/>
      <c r="X164" s="312"/>
      <c r="Y164" s="312"/>
    </row>
    <row r="165" spans="3:25" s="313" customFormat="1">
      <c r="C165" s="335" t="s">
        <v>369</v>
      </c>
      <c r="D165" s="336">
        <f t="shared" ref="D165" si="69">+E165</f>
        <v>1</v>
      </c>
      <c r="E165" s="337">
        <f t="shared" ref="E165" si="70">+PRODUCT(F165:I165)</f>
        <v>1</v>
      </c>
      <c r="F165" s="338">
        <v>1</v>
      </c>
      <c r="G165" s="348">
        <v>1</v>
      </c>
      <c r="H165" s="338"/>
      <c r="I165" s="339"/>
      <c r="K165" s="312"/>
      <c r="L165" s="312"/>
      <c r="M165" s="312"/>
      <c r="N165" s="312"/>
      <c r="O165" s="312"/>
      <c r="P165" s="312"/>
      <c r="Q165" s="312"/>
      <c r="R165" s="312"/>
      <c r="S165" s="312"/>
      <c r="T165" s="312"/>
      <c r="U165" s="312"/>
      <c r="V165" s="312"/>
      <c r="W165" s="312"/>
      <c r="X165" s="312"/>
      <c r="Y165" s="312"/>
    </row>
    <row r="166" spans="3:25" s="313" customFormat="1">
      <c r="C166" s="346"/>
      <c r="E166" s="314"/>
      <c r="F166" s="334"/>
      <c r="G166" s="334"/>
      <c r="H166" s="334"/>
      <c r="I166" s="334"/>
      <c r="K166" s="312"/>
      <c r="L166" s="312"/>
      <c r="M166" s="312"/>
      <c r="N166" s="312"/>
      <c r="O166" s="312"/>
      <c r="P166" s="312"/>
      <c r="Q166" s="312"/>
      <c r="R166" s="312"/>
      <c r="S166" s="312"/>
      <c r="T166" s="312"/>
      <c r="U166" s="312"/>
      <c r="V166" s="312"/>
      <c r="W166" s="312"/>
      <c r="X166" s="312"/>
      <c r="Y166" s="312"/>
    </row>
    <row r="167" spans="3:25" s="313" customFormat="1">
      <c r="C167" s="335" t="s">
        <v>370</v>
      </c>
      <c r="D167" s="336">
        <f t="shared" ref="D167" si="71">+E167</f>
        <v>1</v>
      </c>
      <c r="E167" s="337">
        <f t="shared" ref="E167" si="72">+PRODUCT(F167:I167)</f>
        <v>1</v>
      </c>
      <c r="F167" s="338">
        <v>1</v>
      </c>
      <c r="G167" s="348">
        <v>1</v>
      </c>
      <c r="H167" s="338"/>
      <c r="I167" s="339"/>
      <c r="K167" s="312"/>
      <c r="L167" s="312"/>
      <c r="M167" s="312"/>
      <c r="N167" s="312"/>
      <c r="O167" s="312"/>
      <c r="P167" s="312"/>
      <c r="Q167" s="312"/>
      <c r="R167" s="312"/>
      <c r="S167" s="312"/>
      <c r="T167" s="312"/>
      <c r="U167" s="312"/>
      <c r="V167" s="312"/>
      <c r="W167" s="312"/>
      <c r="X167" s="312"/>
      <c r="Y167" s="312"/>
    </row>
    <row r="170" spans="3:25" s="375" customFormat="1" ht="21">
      <c r="C170" s="372" t="s">
        <v>389</v>
      </c>
      <c r="D170" s="373"/>
      <c r="E170" s="373"/>
      <c r="F170" s="373"/>
      <c r="G170" s="373"/>
      <c r="H170" s="373"/>
      <c r="I170" s="374"/>
    </row>
    <row r="171" spans="3:25" s="313" customFormat="1">
      <c r="C171" s="316"/>
      <c r="D171" s="314" t="s">
        <v>329</v>
      </c>
      <c r="E171" s="314">
        <v>2.6</v>
      </c>
      <c r="F171" s="314"/>
      <c r="G171" s="314" t="s">
        <v>330</v>
      </c>
      <c r="H171" s="314">
        <v>0.2</v>
      </c>
      <c r="I171" s="315"/>
    </row>
    <row r="172" spans="3:25" s="313" customFormat="1">
      <c r="C172" s="316"/>
      <c r="D172" s="314" t="s">
        <v>331</v>
      </c>
      <c r="E172" s="314">
        <v>2</v>
      </c>
      <c r="F172" s="314"/>
      <c r="G172" s="314" t="s">
        <v>332</v>
      </c>
      <c r="H172" s="314">
        <v>0.2</v>
      </c>
      <c r="I172" s="315"/>
    </row>
    <row r="173" spans="3:25" s="313" customFormat="1">
      <c r="C173" s="316"/>
      <c r="D173" s="314" t="s">
        <v>333</v>
      </c>
      <c r="E173" s="314">
        <f>+E174+0.6</f>
        <v>2.04</v>
      </c>
      <c r="F173" s="314"/>
      <c r="G173" s="314" t="s">
        <v>334</v>
      </c>
      <c r="H173" s="314">
        <v>0.2</v>
      </c>
      <c r="I173" s="315"/>
    </row>
    <row r="174" spans="3:25" s="313" customFormat="1">
      <c r="C174" s="316"/>
      <c r="D174" s="314" t="s">
        <v>335</v>
      </c>
      <c r="E174" s="314">
        <v>1.44</v>
      </c>
      <c r="F174" s="314"/>
      <c r="G174" s="314"/>
      <c r="H174" s="314"/>
      <c r="I174" s="315"/>
    </row>
    <row r="175" spans="3:25" s="313" customFormat="1">
      <c r="C175" s="316"/>
      <c r="I175" s="315"/>
    </row>
    <row r="176" spans="3:25" s="313" customFormat="1">
      <c r="C176" s="312"/>
      <c r="F176" s="313" t="s">
        <v>227</v>
      </c>
      <c r="G176" s="313" t="s">
        <v>336</v>
      </c>
      <c r="H176" s="313" t="s">
        <v>226</v>
      </c>
      <c r="I176" s="313" t="s">
        <v>2</v>
      </c>
    </row>
    <row r="177" spans="3:17">
      <c r="C177" s="317" t="s">
        <v>337</v>
      </c>
      <c r="D177" s="318">
        <f>+E177</f>
        <v>5.2</v>
      </c>
      <c r="E177" s="319">
        <f>+PRODUCT(F177:I177)</f>
        <v>5.2</v>
      </c>
      <c r="F177" s="320">
        <v>1</v>
      </c>
      <c r="G177" s="320">
        <f>+E171</f>
        <v>2.6</v>
      </c>
      <c r="H177" s="320">
        <f>+E172</f>
        <v>2</v>
      </c>
      <c r="I177" s="321"/>
    </row>
    <row r="178" spans="3:17">
      <c r="C178" s="322" t="s">
        <v>338</v>
      </c>
      <c r="D178" s="323">
        <f t="shared" ref="D178" si="73">+E178</f>
        <v>5.2</v>
      </c>
      <c r="E178" s="324">
        <f t="shared" ref="E178:E184" si="74">+PRODUCT(F178:I178)</f>
        <v>5.2</v>
      </c>
      <c r="F178" s="325">
        <f t="shared" ref="F178:H179" si="75">+F177</f>
        <v>1</v>
      </c>
      <c r="G178" s="325">
        <f t="shared" si="75"/>
        <v>2.6</v>
      </c>
      <c r="H178" s="325">
        <f t="shared" si="75"/>
        <v>2</v>
      </c>
      <c r="I178" s="326"/>
    </row>
    <row r="179" spans="3:17">
      <c r="C179" s="322" t="s">
        <v>339</v>
      </c>
      <c r="D179" s="323">
        <f>SUM(E179:E181)</f>
        <v>12.819600000000001</v>
      </c>
      <c r="E179" s="324">
        <f t="shared" si="74"/>
        <v>10.608000000000001</v>
      </c>
      <c r="F179" s="325">
        <f t="shared" si="75"/>
        <v>1</v>
      </c>
      <c r="G179" s="325">
        <f t="shared" si="75"/>
        <v>2.6</v>
      </c>
      <c r="H179" s="325">
        <f t="shared" si="75"/>
        <v>2</v>
      </c>
      <c r="I179" s="326">
        <f>+E173</f>
        <v>2.04</v>
      </c>
    </row>
    <row r="180" spans="3:17">
      <c r="C180" s="327" t="s">
        <v>340</v>
      </c>
      <c r="D180" s="324"/>
      <c r="E180" s="324">
        <f t="shared" si="74"/>
        <v>2.1215999999999999</v>
      </c>
      <c r="F180" s="325">
        <v>1</v>
      </c>
      <c r="G180" s="325">
        <f>+(G179*2+1.2)+H179*2</f>
        <v>10.4</v>
      </c>
      <c r="H180" s="325">
        <v>0.1</v>
      </c>
      <c r="I180" s="326">
        <f>+I179</f>
        <v>2.04</v>
      </c>
    </row>
    <row r="181" spans="3:17">
      <c r="C181" s="327"/>
      <c r="D181" s="324"/>
      <c r="E181" s="324">
        <f t="shared" si="74"/>
        <v>0.09</v>
      </c>
      <c r="F181" s="325">
        <v>1</v>
      </c>
      <c r="G181" s="325">
        <v>0.3</v>
      </c>
      <c r="H181" s="325">
        <v>0.3</v>
      </c>
      <c r="I181" s="326">
        <v>1</v>
      </c>
    </row>
    <row r="182" spans="3:17">
      <c r="C182" s="322" t="s">
        <v>341</v>
      </c>
      <c r="D182" s="323">
        <f>+E182</f>
        <v>5.2</v>
      </c>
      <c r="E182" s="324">
        <f t="shared" si="74"/>
        <v>5.2</v>
      </c>
      <c r="F182" s="325">
        <f>+F179</f>
        <v>1</v>
      </c>
      <c r="G182" s="325">
        <f>+G179</f>
        <v>2.6</v>
      </c>
      <c r="H182" s="325">
        <f>+H179</f>
        <v>2</v>
      </c>
      <c r="I182" s="326"/>
    </row>
    <row r="183" spans="3:17">
      <c r="C183" s="322" t="s">
        <v>342</v>
      </c>
      <c r="D183" s="323">
        <f t="shared" ref="D183:D184" si="76">+E183</f>
        <v>2.1215999999999999</v>
      </c>
      <c r="E183" s="324">
        <f t="shared" si="74"/>
        <v>2.1215999999999999</v>
      </c>
      <c r="F183" s="325">
        <f>+E180</f>
        <v>2.1215999999999999</v>
      </c>
      <c r="G183" s="325"/>
      <c r="H183" s="325"/>
      <c r="I183" s="326"/>
    </row>
    <row r="184" spans="3:17">
      <c r="C184" s="328" t="s">
        <v>343</v>
      </c>
      <c r="D184" s="329">
        <f t="shared" si="76"/>
        <v>10.698</v>
      </c>
      <c r="E184" s="330">
        <f t="shared" si="74"/>
        <v>10.698</v>
      </c>
      <c r="F184" s="331">
        <f>+D179-D183</f>
        <v>10.698</v>
      </c>
      <c r="G184" s="331"/>
      <c r="H184" s="331"/>
      <c r="I184" s="332"/>
    </row>
    <row r="185" spans="3:17">
      <c r="C185" s="333"/>
      <c r="D185" s="310"/>
      <c r="E185" s="314"/>
      <c r="F185" s="334"/>
      <c r="G185" s="334"/>
      <c r="H185" s="334"/>
      <c r="I185" s="334"/>
    </row>
    <row r="186" spans="3:17">
      <c r="C186" s="335" t="s">
        <v>344</v>
      </c>
      <c r="D186" s="336">
        <f t="shared" ref="D186" si="77">+E186</f>
        <v>6.3E-2</v>
      </c>
      <c r="E186" s="337">
        <f t="shared" ref="E186" si="78">+PRODUCT(F186:I186)</f>
        <v>6.3E-2</v>
      </c>
      <c r="F186" s="338">
        <v>1</v>
      </c>
      <c r="G186" s="338">
        <v>0.3</v>
      </c>
      <c r="H186" s="338">
        <v>0.3</v>
      </c>
      <c r="I186" s="339">
        <v>0.7</v>
      </c>
    </row>
    <row r="187" spans="3:17">
      <c r="C187" s="333"/>
      <c r="D187" s="310"/>
      <c r="E187" s="314"/>
      <c r="F187" s="334"/>
      <c r="G187" s="334"/>
      <c r="H187" s="334"/>
      <c r="I187" s="334"/>
    </row>
    <row r="188" spans="3:17">
      <c r="C188" s="335" t="s">
        <v>345</v>
      </c>
      <c r="D188" s="336">
        <f t="shared" ref="D188" si="79">+E188</f>
        <v>0.52</v>
      </c>
      <c r="E188" s="337">
        <f t="shared" ref="E188" si="80">+PRODUCT(F188:I188)</f>
        <v>0.52</v>
      </c>
      <c r="F188" s="338">
        <f>+F177</f>
        <v>1</v>
      </c>
      <c r="G188" s="338">
        <f>+G177</f>
        <v>2.6</v>
      </c>
      <c r="H188" s="338">
        <f>+H177</f>
        <v>2</v>
      </c>
      <c r="I188" s="339">
        <v>0.1</v>
      </c>
    </row>
    <row r="189" spans="3:17">
      <c r="C189" s="333"/>
      <c r="D189" s="340"/>
      <c r="F189" s="334"/>
      <c r="G189" s="334"/>
      <c r="H189" s="334"/>
      <c r="I189" s="334"/>
      <c r="K189" s="311" t="s">
        <v>346</v>
      </c>
      <c r="L189" s="309" t="s">
        <v>336</v>
      </c>
      <c r="M189" s="312" t="s">
        <v>347</v>
      </c>
      <c r="N189" s="309" t="s">
        <v>227</v>
      </c>
      <c r="O189" s="309" t="s">
        <v>348</v>
      </c>
      <c r="P189" s="309" t="s">
        <v>349</v>
      </c>
      <c r="Q189" s="309" t="s">
        <v>350</v>
      </c>
    </row>
    <row r="190" spans="3:17">
      <c r="C190" s="317" t="s">
        <v>351</v>
      </c>
      <c r="D190" s="341">
        <f t="shared" ref="D190:D192" si="81">+E190</f>
        <v>5.4450000000000005E-2</v>
      </c>
      <c r="E190" s="319">
        <f t="shared" ref="E190:E192" si="82">+PRODUCT(F190:I190)</f>
        <v>5.4450000000000005E-2</v>
      </c>
      <c r="F190" s="320">
        <v>1</v>
      </c>
      <c r="G190" s="342">
        <v>0.55000000000000004</v>
      </c>
      <c r="H190" s="320">
        <v>0.22</v>
      </c>
      <c r="I190" s="321">
        <v>0.45</v>
      </c>
      <c r="K190" s="312" t="s">
        <v>352</v>
      </c>
      <c r="L190" s="312">
        <f>+G190+0.3*2-0.08</f>
        <v>1.0699999999999998</v>
      </c>
      <c r="M190" s="312">
        <v>2</v>
      </c>
      <c r="N190" s="312">
        <f>ROUND((G190-0.08)/0.15+1,0)</f>
        <v>4</v>
      </c>
      <c r="O190" s="343">
        <v>0.375</v>
      </c>
      <c r="P190" s="312">
        <v>0.56000000000000005</v>
      </c>
      <c r="Q190" s="313">
        <f>+L190*M190*N190*P190</f>
        <v>4.7935999999999996</v>
      </c>
    </row>
    <row r="191" spans="3:17">
      <c r="C191" s="322" t="s">
        <v>353</v>
      </c>
      <c r="D191" s="344">
        <f t="shared" si="81"/>
        <v>0.73919999999999997</v>
      </c>
      <c r="E191" s="324">
        <f t="shared" si="82"/>
        <v>0.73919999999999997</v>
      </c>
      <c r="F191" s="325">
        <v>1</v>
      </c>
      <c r="G191" s="325">
        <f>+G190*2+H190*2</f>
        <v>1.54</v>
      </c>
      <c r="H191" s="325"/>
      <c r="I191" s="326">
        <v>0.48</v>
      </c>
    </row>
    <row r="192" spans="3:17">
      <c r="C192" s="328" t="s">
        <v>354</v>
      </c>
      <c r="D192" s="345">
        <f t="shared" si="81"/>
        <v>4.7935999999999996</v>
      </c>
      <c r="E192" s="330">
        <f t="shared" si="82"/>
        <v>4.7935999999999996</v>
      </c>
      <c r="F192" s="331">
        <f>+Q190</f>
        <v>4.7935999999999996</v>
      </c>
      <c r="G192" s="331"/>
      <c r="H192" s="331"/>
      <c r="I192" s="332"/>
    </row>
    <row r="193" spans="3:25">
      <c r="C193" s="333"/>
      <c r="D193" s="310"/>
      <c r="E193" s="314"/>
      <c r="F193" s="334"/>
      <c r="G193" s="334"/>
      <c r="H193" s="334"/>
      <c r="I193" s="334"/>
      <c r="K193" s="311" t="s">
        <v>355</v>
      </c>
      <c r="L193" s="309" t="s">
        <v>336</v>
      </c>
      <c r="M193" s="312" t="s">
        <v>347</v>
      </c>
      <c r="N193" s="309" t="s">
        <v>227</v>
      </c>
      <c r="O193" s="309" t="s">
        <v>348</v>
      </c>
      <c r="P193" s="309" t="s">
        <v>349</v>
      </c>
      <c r="Q193" s="309" t="s">
        <v>350</v>
      </c>
    </row>
    <row r="194" spans="3:25">
      <c r="C194" s="317" t="s">
        <v>356</v>
      </c>
      <c r="D194" s="341">
        <f t="shared" ref="D194:D196" si="83">+E194</f>
        <v>1.04</v>
      </c>
      <c r="E194" s="319">
        <f t="shared" ref="E194:E196" si="84">+PRODUCT(F194:I194)</f>
        <v>1.04</v>
      </c>
      <c r="F194" s="320">
        <v>1</v>
      </c>
      <c r="G194" s="320">
        <f>+E171</f>
        <v>2.6</v>
      </c>
      <c r="H194" s="320">
        <f>+E172</f>
        <v>2</v>
      </c>
      <c r="I194" s="321">
        <f>+H171</f>
        <v>0.2</v>
      </c>
      <c r="K194" s="312" t="s">
        <v>352</v>
      </c>
      <c r="L194" s="312">
        <f>+E171+0.3*2-0.08</f>
        <v>3.12</v>
      </c>
      <c r="M194" s="312">
        <v>2</v>
      </c>
      <c r="N194" s="312">
        <f>ROUND((E172-0.08)/0.25+1,0)</f>
        <v>9</v>
      </c>
      <c r="O194" s="343">
        <v>0.375</v>
      </c>
      <c r="P194" s="312">
        <v>0.56000000000000005</v>
      </c>
      <c r="Q194" s="313">
        <f>+L194*M194*N194*P194</f>
        <v>31.449600000000004</v>
      </c>
    </row>
    <row r="195" spans="3:25">
      <c r="C195" s="322" t="s">
        <v>353</v>
      </c>
      <c r="D195" s="344">
        <f t="shared" si="83"/>
        <v>1.8399999999999999</v>
      </c>
      <c r="E195" s="324">
        <f t="shared" si="84"/>
        <v>1.8399999999999999</v>
      </c>
      <c r="F195" s="325">
        <v>1</v>
      </c>
      <c r="G195" s="325">
        <f>+G194*2+H194*2</f>
        <v>9.1999999999999993</v>
      </c>
      <c r="H195" s="325"/>
      <c r="I195" s="326">
        <f>+I194</f>
        <v>0.2</v>
      </c>
      <c r="K195" s="312" t="s">
        <v>357</v>
      </c>
      <c r="L195" s="312">
        <f>+E172+0.3*2-0.08</f>
        <v>2.52</v>
      </c>
      <c r="M195" s="312">
        <v>2</v>
      </c>
      <c r="N195" s="312">
        <f>ROUND((E171-0.08)/0.25+1,0)</f>
        <v>11</v>
      </c>
      <c r="O195" s="343">
        <v>0.375</v>
      </c>
      <c r="P195" s="312">
        <v>0.56000000000000005</v>
      </c>
      <c r="Q195" s="313">
        <f>+L195*M195*N195*P195</f>
        <v>31.046400000000002</v>
      </c>
    </row>
    <row r="196" spans="3:25">
      <c r="C196" s="328" t="s">
        <v>354</v>
      </c>
      <c r="D196" s="345">
        <f t="shared" si="83"/>
        <v>62.496000000000009</v>
      </c>
      <c r="E196" s="330">
        <f t="shared" si="84"/>
        <v>62.496000000000009</v>
      </c>
      <c r="F196" s="331">
        <f>+Q196</f>
        <v>62.496000000000009</v>
      </c>
      <c r="G196" s="331"/>
      <c r="H196" s="331"/>
      <c r="I196" s="332"/>
      <c r="Q196" s="310">
        <f>SUM(Q194:Q195)</f>
        <v>62.496000000000009</v>
      </c>
    </row>
    <row r="197" spans="3:25">
      <c r="C197" s="333"/>
      <c r="D197" s="310"/>
      <c r="E197" s="314"/>
      <c r="F197" s="334"/>
      <c r="G197" s="334"/>
      <c r="H197" s="334"/>
      <c r="I197" s="334"/>
    </row>
    <row r="198" spans="3:25">
      <c r="C198" s="317" t="s">
        <v>358</v>
      </c>
      <c r="D198" s="341">
        <f t="shared" ref="D198" si="85">+E198</f>
        <v>2.4192</v>
      </c>
      <c r="E198" s="319">
        <f t="shared" ref="E198:E201" si="86">+PRODUCT(F198:I198)</f>
        <v>2.4192</v>
      </c>
      <c r="F198" s="320">
        <v>1</v>
      </c>
      <c r="G198" s="320">
        <f>+E171*2+(E172-2*H172)*2</f>
        <v>8.4</v>
      </c>
      <c r="H198" s="320">
        <f>+H172</f>
        <v>0.2</v>
      </c>
      <c r="I198" s="321">
        <f>+E174</f>
        <v>1.44</v>
      </c>
      <c r="K198" s="311" t="s">
        <v>359</v>
      </c>
      <c r="L198" s="309" t="s">
        <v>336</v>
      </c>
      <c r="M198" s="312" t="s">
        <v>360</v>
      </c>
      <c r="N198" s="309" t="s">
        <v>227</v>
      </c>
      <c r="O198" s="309" t="s">
        <v>348</v>
      </c>
      <c r="P198" s="309" t="s">
        <v>349</v>
      </c>
      <c r="Q198" s="309" t="s">
        <v>350</v>
      </c>
      <c r="S198" s="311" t="s">
        <v>361</v>
      </c>
      <c r="T198" s="309" t="s">
        <v>336</v>
      </c>
      <c r="U198" s="312" t="s">
        <v>360</v>
      </c>
      <c r="V198" s="309" t="s">
        <v>227</v>
      </c>
      <c r="W198" s="309" t="s">
        <v>348</v>
      </c>
      <c r="X198" s="309" t="s">
        <v>349</v>
      </c>
      <c r="Y198" s="309" t="s">
        <v>350</v>
      </c>
    </row>
    <row r="199" spans="3:25">
      <c r="C199" s="322" t="s">
        <v>353</v>
      </c>
      <c r="D199" s="344">
        <f>+E199+E200</f>
        <v>24.192</v>
      </c>
      <c r="E199" s="324">
        <f t="shared" si="86"/>
        <v>13.247999999999999</v>
      </c>
      <c r="F199" s="325">
        <v>1</v>
      </c>
      <c r="G199" s="325">
        <f>+(E171+E172)*2</f>
        <v>9.1999999999999993</v>
      </c>
      <c r="H199" s="325"/>
      <c r="I199" s="326">
        <f>+I198</f>
        <v>1.44</v>
      </c>
      <c r="K199" s="312" t="s">
        <v>362</v>
      </c>
      <c r="L199" s="312">
        <f>+E171+0.3*2-0.08</f>
        <v>3.12</v>
      </c>
      <c r="M199" s="312">
        <f>2+2</f>
        <v>4</v>
      </c>
      <c r="N199" s="312">
        <f>ROUND((E174-0.08)/0.25+1,0)</f>
        <v>6</v>
      </c>
      <c r="O199" s="343">
        <v>0.375</v>
      </c>
      <c r="P199" s="312">
        <v>0.56000000000000005</v>
      </c>
      <c r="Q199" s="313">
        <f t="shared" ref="Q199:Q200" si="87">+L199*M199*N199*P199</f>
        <v>41.9328</v>
      </c>
      <c r="S199" s="312" t="s">
        <v>362</v>
      </c>
      <c r="T199" s="312">
        <f>+E172+0.3*2-0.08</f>
        <v>2.52</v>
      </c>
      <c r="U199" s="312">
        <f>2+2</f>
        <v>4</v>
      </c>
      <c r="V199" s="312">
        <f>ROUND((E174-0.08)/0.25+1,0)</f>
        <v>6</v>
      </c>
      <c r="W199" s="343">
        <v>0.375</v>
      </c>
      <c r="X199" s="312">
        <v>0.56000000000000005</v>
      </c>
      <c r="Y199" s="313">
        <f t="shared" ref="Y199:Y200" si="88">+T199*U199*V199*X199</f>
        <v>33.868800000000007</v>
      </c>
    </row>
    <row r="200" spans="3:25">
      <c r="C200" s="322"/>
      <c r="D200" s="344"/>
      <c r="E200" s="324">
        <f t="shared" si="86"/>
        <v>10.944000000000001</v>
      </c>
      <c r="F200" s="325">
        <v>1</v>
      </c>
      <c r="G200" s="325">
        <f>+(E171-2*H172)*2+(E172-2*H172)*2</f>
        <v>7.6000000000000005</v>
      </c>
      <c r="H200" s="325"/>
      <c r="I200" s="326">
        <f>+I199</f>
        <v>1.44</v>
      </c>
      <c r="K200" s="312" t="s">
        <v>363</v>
      </c>
      <c r="L200" s="312">
        <f>+E174+0.3*2-0.04+H173+H171</f>
        <v>2.4000000000000004</v>
      </c>
      <c r="M200" s="312">
        <f>2+2</f>
        <v>4</v>
      </c>
      <c r="N200" s="312">
        <f>ROUND((E171-0.08)/0.25+1,0)</f>
        <v>11</v>
      </c>
      <c r="O200" s="343">
        <v>0.375</v>
      </c>
      <c r="P200" s="312">
        <v>0.56000000000000005</v>
      </c>
      <c r="Q200" s="313">
        <f t="shared" si="87"/>
        <v>59.136000000000017</v>
      </c>
      <c r="S200" s="312" t="s">
        <v>363</v>
      </c>
      <c r="T200" s="312">
        <f>+E174+0.3*2-0.04+H173+H171</f>
        <v>2.4000000000000004</v>
      </c>
      <c r="U200" s="312">
        <f>2+2</f>
        <v>4</v>
      </c>
      <c r="V200" s="312">
        <f>ROUND((E172-0.08)/0.25+1,0)</f>
        <v>9</v>
      </c>
      <c r="W200" s="343">
        <v>0.375</v>
      </c>
      <c r="X200" s="312">
        <v>0.56000000000000005</v>
      </c>
      <c r="Y200" s="313">
        <f t="shared" si="88"/>
        <v>48.384000000000007</v>
      </c>
    </row>
    <row r="201" spans="3:25">
      <c r="C201" s="328" t="s">
        <v>354</v>
      </c>
      <c r="D201" s="345">
        <f t="shared" ref="D201" si="89">+E201</f>
        <v>183.32160000000002</v>
      </c>
      <c r="E201" s="330">
        <f t="shared" si="86"/>
        <v>183.32160000000002</v>
      </c>
      <c r="F201" s="331">
        <f>+Q201+Y201</f>
        <v>183.32160000000002</v>
      </c>
      <c r="G201" s="331"/>
      <c r="H201" s="331"/>
      <c r="I201" s="332"/>
      <c r="Q201" s="310">
        <f>SUM(Q199:Q200)</f>
        <v>101.06880000000001</v>
      </c>
      <c r="Y201" s="310">
        <f>SUM(Y199:Y200)</f>
        <v>82.252800000000008</v>
      </c>
    </row>
    <row r="202" spans="3:25">
      <c r="C202" s="346"/>
      <c r="E202" s="314"/>
      <c r="F202" s="334"/>
      <c r="G202" s="334"/>
      <c r="H202" s="334"/>
      <c r="I202" s="334"/>
    </row>
    <row r="203" spans="3:25">
      <c r="C203" s="317" t="s">
        <v>364</v>
      </c>
      <c r="D203" s="341">
        <f>+E203+E204</f>
        <v>0.98345133223538372</v>
      </c>
      <c r="E203" s="319">
        <f t="shared" ref="E203:E209" si="90">+PRODUCT(F203:I203)</f>
        <v>1.04</v>
      </c>
      <c r="F203" s="320">
        <v>1</v>
      </c>
      <c r="G203" s="320">
        <f>+G194</f>
        <v>2.6</v>
      </c>
      <c r="H203" s="320">
        <f>+H194</f>
        <v>2</v>
      </c>
      <c r="I203" s="321">
        <f>+H173</f>
        <v>0.2</v>
      </c>
      <c r="K203" s="311" t="s">
        <v>365</v>
      </c>
      <c r="L203" s="309" t="s">
        <v>336</v>
      </c>
      <c r="M203" s="312" t="s">
        <v>347</v>
      </c>
      <c r="N203" s="309" t="s">
        <v>227</v>
      </c>
      <c r="O203" s="309" t="s">
        <v>348</v>
      </c>
      <c r="P203" s="309" t="s">
        <v>349</v>
      </c>
      <c r="Q203" s="309" t="s">
        <v>350</v>
      </c>
    </row>
    <row r="204" spans="3:25">
      <c r="C204" s="322"/>
      <c r="D204" s="344"/>
      <c r="E204" s="324">
        <f t="shared" si="90"/>
        <v>-5.6548667764616284E-2</v>
      </c>
      <c r="F204" s="325">
        <v>-1</v>
      </c>
      <c r="G204" s="325">
        <f>+PI()*0.3^2</f>
        <v>0.28274333882308139</v>
      </c>
      <c r="H204" s="325"/>
      <c r="I204" s="326">
        <f>+I203</f>
        <v>0.2</v>
      </c>
      <c r="K204" s="312" t="s">
        <v>352</v>
      </c>
      <c r="L204" s="312">
        <f>+E171+0.3*2-0.08</f>
        <v>3.12</v>
      </c>
      <c r="M204" s="312">
        <v>2</v>
      </c>
      <c r="N204" s="312">
        <f>ROUND((E172-0.08)/0.25+1,0)</f>
        <v>9</v>
      </c>
      <c r="O204" s="343">
        <v>0.375</v>
      </c>
      <c r="P204" s="312">
        <v>0.56000000000000005</v>
      </c>
      <c r="Q204" s="313">
        <f>+L204*M204*N204*P204*1.05</f>
        <v>33.022080000000003</v>
      </c>
    </row>
    <row r="205" spans="3:25">
      <c r="C205" s="322" t="s">
        <v>353</v>
      </c>
      <c r="D205" s="344">
        <f>SUM(E205:E208)</f>
        <v>4.273982236861551</v>
      </c>
      <c r="E205" s="324">
        <f t="shared" si="90"/>
        <v>3.5200000000000005</v>
      </c>
      <c r="F205" s="325">
        <v>1</v>
      </c>
      <c r="G205" s="325">
        <f>+G203-0.4</f>
        <v>2.2000000000000002</v>
      </c>
      <c r="H205" s="325">
        <f>+H203-0.4</f>
        <v>1.6</v>
      </c>
      <c r="I205" s="326"/>
      <c r="K205" s="312" t="s">
        <v>357</v>
      </c>
      <c r="L205" s="312">
        <f>+E172+0.3*2-0.08</f>
        <v>2.52</v>
      </c>
      <c r="M205" s="312">
        <v>2</v>
      </c>
      <c r="N205" s="312">
        <f>ROUND((E171-0.08)/0.25+1,0)</f>
        <v>11</v>
      </c>
      <c r="O205" s="343">
        <v>0.375</v>
      </c>
      <c r="P205" s="312">
        <v>0.56000000000000005</v>
      </c>
      <c r="Q205" s="313">
        <f>+L205*M205*N205*P205*1.05</f>
        <v>32.59872</v>
      </c>
    </row>
    <row r="206" spans="3:25">
      <c r="C206" s="322"/>
      <c r="D206" s="344"/>
      <c r="E206" s="324">
        <f t="shared" si="90"/>
        <v>-0.28274333882308139</v>
      </c>
      <c r="F206" s="325">
        <v>-1</v>
      </c>
      <c r="G206" s="325">
        <f>+G204</f>
        <v>0.28274333882308139</v>
      </c>
      <c r="H206" s="325"/>
      <c r="I206" s="326"/>
      <c r="Q206" s="310">
        <f>SUM(Q204:Q205)</f>
        <v>65.620800000000003</v>
      </c>
    </row>
    <row r="207" spans="3:25">
      <c r="C207" s="322"/>
      <c r="D207" s="344"/>
      <c r="E207" s="324">
        <f t="shared" si="90"/>
        <v>0.56548667764616289</v>
      </c>
      <c r="F207" s="325">
        <v>1</v>
      </c>
      <c r="G207" s="325">
        <f>2*PI()*0.3</f>
        <v>1.8849555921538759</v>
      </c>
      <c r="H207" s="325"/>
      <c r="I207" s="326">
        <f>+E173-E174-H171-0.1</f>
        <v>0.30000000000000004</v>
      </c>
    </row>
    <row r="208" spans="3:25">
      <c r="C208" s="322"/>
      <c r="D208" s="344"/>
      <c r="E208" s="324">
        <f t="shared" si="90"/>
        <v>0.47123889803846897</v>
      </c>
      <c r="F208" s="325">
        <v>1</v>
      </c>
      <c r="G208" s="325">
        <f>2*PI()*0.5</f>
        <v>3.1415926535897931</v>
      </c>
      <c r="H208" s="325"/>
      <c r="I208" s="347">
        <v>0.15</v>
      </c>
    </row>
    <row r="209" spans="3:25" s="313" customFormat="1">
      <c r="C209" s="328" t="s">
        <v>354</v>
      </c>
      <c r="D209" s="345">
        <f t="shared" ref="D209" si="91">+E209</f>
        <v>65.620800000000003</v>
      </c>
      <c r="E209" s="330">
        <f t="shared" si="90"/>
        <v>65.620800000000003</v>
      </c>
      <c r="F209" s="331">
        <f>+Q206</f>
        <v>65.620800000000003</v>
      </c>
      <c r="G209" s="331"/>
      <c r="H209" s="331"/>
      <c r="I209" s="332"/>
      <c r="K209" s="312"/>
      <c r="L209" s="312"/>
      <c r="M209" s="312"/>
      <c r="N209" s="312"/>
      <c r="O209" s="312"/>
      <c r="P209" s="312"/>
      <c r="Q209" s="312"/>
      <c r="R209" s="312"/>
      <c r="S209" s="312"/>
      <c r="T209" s="312"/>
      <c r="U209" s="312"/>
      <c r="V209" s="312"/>
      <c r="W209" s="312"/>
      <c r="X209" s="312"/>
      <c r="Y209" s="312"/>
    </row>
    <row r="210" spans="3:25" s="313" customFormat="1">
      <c r="C210" s="346"/>
      <c r="E210" s="314"/>
      <c r="F210" s="334"/>
      <c r="G210" s="334"/>
      <c r="H210" s="334"/>
      <c r="I210" s="334"/>
      <c r="K210" s="312"/>
      <c r="L210" s="312"/>
      <c r="M210" s="312"/>
      <c r="N210" s="312"/>
      <c r="O210" s="312"/>
      <c r="P210" s="312"/>
      <c r="Q210" s="312"/>
      <c r="R210" s="312"/>
      <c r="S210" s="312"/>
      <c r="T210" s="312"/>
      <c r="U210" s="312"/>
      <c r="V210" s="312"/>
      <c r="W210" s="312"/>
      <c r="X210" s="312"/>
      <c r="Y210" s="312"/>
    </row>
    <row r="211" spans="3:25" s="313" customFormat="1">
      <c r="C211" s="317" t="s">
        <v>366</v>
      </c>
      <c r="D211" s="341">
        <f>+SUM(E211:E213)</f>
        <v>17.70125666117692</v>
      </c>
      <c r="E211" s="319">
        <f t="shared" ref="E211:E213" si="92">+PRODUCT(F211:I211)</f>
        <v>10.944000000000001</v>
      </c>
      <c r="F211" s="320">
        <v>1</v>
      </c>
      <c r="G211" s="320">
        <f>+G200</f>
        <v>7.6000000000000005</v>
      </c>
      <c r="H211" s="320"/>
      <c r="I211" s="321">
        <f>+I198</f>
        <v>1.44</v>
      </c>
      <c r="K211" s="312"/>
      <c r="L211" s="312"/>
      <c r="M211" s="312"/>
      <c r="N211" s="312"/>
      <c r="O211" s="312"/>
      <c r="P211" s="312"/>
      <c r="Q211" s="312"/>
      <c r="R211" s="312"/>
      <c r="S211" s="312"/>
      <c r="T211" s="312"/>
      <c r="U211" s="312"/>
      <c r="V211" s="312"/>
      <c r="W211" s="312"/>
      <c r="X211" s="312"/>
      <c r="Y211" s="312"/>
    </row>
    <row r="212" spans="3:25" s="313" customFormat="1">
      <c r="C212" s="322"/>
      <c r="D212" s="344"/>
      <c r="E212" s="324">
        <f t="shared" si="92"/>
        <v>3.5200000000000005</v>
      </c>
      <c r="F212" s="325">
        <v>1</v>
      </c>
      <c r="G212" s="325">
        <f>+G205</f>
        <v>2.2000000000000002</v>
      </c>
      <c r="H212" s="325">
        <f>+H205</f>
        <v>1.6</v>
      </c>
      <c r="I212" s="326"/>
      <c r="K212" s="312"/>
      <c r="L212" s="312"/>
      <c r="M212" s="312"/>
      <c r="N212" s="312"/>
      <c r="O212" s="312"/>
      <c r="P212" s="312"/>
      <c r="Q212" s="312"/>
      <c r="R212" s="312"/>
      <c r="S212" s="312"/>
      <c r="T212" s="312"/>
      <c r="U212" s="312"/>
      <c r="V212" s="312"/>
      <c r="W212" s="312"/>
      <c r="X212" s="312"/>
      <c r="Y212" s="312"/>
    </row>
    <row r="213" spans="3:25" s="313" customFormat="1">
      <c r="C213" s="328"/>
      <c r="D213" s="345"/>
      <c r="E213" s="330">
        <f t="shared" si="92"/>
        <v>3.2372566611769189</v>
      </c>
      <c r="F213" s="331">
        <v>1</v>
      </c>
      <c r="G213" s="331">
        <f>+E205+E206</f>
        <v>3.2372566611769189</v>
      </c>
      <c r="H213" s="331"/>
      <c r="I213" s="332"/>
      <c r="K213" s="312"/>
      <c r="L213" s="312"/>
      <c r="M213" s="312"/>
      <c r="N213" s="312"/>
      <c r="O213" s="312"/>
      <c r="P213" s="312"/>
      <c r="Q213" s="312"/>
      <c r="R213" s="312"/>
      <c r="S213" s="312"/>
      <c r="T213" s="312"/>
      <c r="U213" s="312"/>
      <c r="V213" s="312"/>
      <c r="W213" s="312"/>
      <c r="X213" s="312"/>
      <c r="Y213" s="312"/>
    </row>
    <row r="214" spans="3:25" s="313" customFormat="1">
      <c r="C214" s="346"/>
      <c r="E214" s="314"/>
      <c r="F214" s="334"/>
      <c r="G214" s="334"/>
      <c r="H214" s="334"/>
      <c r="I214" s="334"/>
      <c r="K214" s="312"/>
      <c r="L214" s="312"/>
      <c r="M214" s="312"/>
      <c r="N214" s="312"/>
      <c r="O214" s="312"/>
      <c r="P214" s="312"/>
      <c r="Q214" s="312"/>
      <c r="R214" s="312"/>
      <c r="S214" s="312"/>
      <c r="T214" s="312"/>
      <c r="U214" s="312"/>
      <c r="V214" s="312"/>
      <c r="W214" s="312"/>
      <c r="X214" s="312"/>
      <c r="Y214" s="312"/>
    </row>
    <row r="215" spans="3:25" s="313" customFormat="1">
      <c r="C215" s="335" t="s">
        <v>367</v>
      </c>
      <c r="D215" s="336">
        <f t="shared" ref="D215" si="93">+E215</f>
        <v>3.5200000000000005</v>
      </c>
      <c r="E215" s="337">
        <f t="shared" ref="E215" si="94">+PRODUCT(F215:I215)</f>
        <v>3.5200000000000005</v>
      </c>
      <c r="F215" s="338">
        <v>1</v>
      </c>
      <c r="G215" s="338">
        <f>+G177-2*H172</f>
        <v>2.2000000000000002</v>
      </c>
      <c r="H215" s="338">
        <f>+H177-2*H172</f>
        <v>1.6</v>
      </c>
      <c r="I215" s="339"/>
      <c r="K215" s="312"/>
      <c r="L215" s="312"/>
      <c r="M215" s="312"/>
      <c r="N215" s="312"/>
      <c r="O215" s="312"/>
      <c r="P215" s="312"/>
      <c r="Q215" s="312"/>
      <c r="R215" s="312"/>
      <c r="S215" s="312"/>
      <c r="T215" s="312"/>
      <c r="U215" s="312"/>
      <c r="V215" s="312"/>
      <c r="W215" s="312"/>
      <c r="X215" s="312"/>
      <c r="Y215" s="312"/>
    </row>
    <row r="216" spans="3:25" s="313" customFormat="1">
      <c r="C216" s="346"/>
      <c r="E216" s="314"/>
      <c r="F216" s="334"/>
      <c r="G216" s="334"/>
      <c r="H216" s="334"/>
      <c r="I216" s="334"/>
      <c r="K216" s="312"/>
      <c r="L216" s="312"/>
      <c r="M216" s="312"/>
      <c r="N216" s="312"/>
      <c r="O216" s="312"/>
      <c r="P216" s="312"/>
      <c r="Q216" s="312"/>
      <c r="R216" s="312"/>
      <c r="S216" s="312"/>
      <c r="T216" s="312"/>
      <c r="U216" s="312"/>
      <c r="V216" s="312"/>
      <c r="W216" s="312"/>
      <c r="X216" s="312"/>
      <c r="Y216" s="312"/>
    </row>
    <row r="217" spans="3:25" s="313" customFormat="1">
      <c r="C217" s="335" t="s">
        <v>368</v>
      </c>
      <c r="D217" s="336">
        <f t="shared" ref="D217" si="95">+E217</f>
        <v>1.44</v>
      </c>
      <c r="E217" s="337">
        <f t="shared" ref="E217" si="96">+PRODUCT(F217:I217)</f>
        <v>1.44</v>
      </c>
      <c r="F217" s="338">
        <v>1</v>
      </c>
      <c r="G217" s="338">
        <f>+E174</f>
        <v>1.44</v>
      </c>
      <c r="H217" s="338"/>
      <c r="I217" s="339"/>
      <c r="K217" s="312"/>
      <c r="L217" s="312"/>
      <c r="M217" s="312"/>
      <c r="N217" s="312"/>
      <c r="O217" s="312"/>
      <c r="P217" s="312"/>
      <c r="Q217" s="312"/>
      <c r="R217" s="312"/>
      <c r="S217" s="312"/>
      <c r="T217" s="312"/>
      <c r="U217" s="312"/>
      <c r="V217" s="312"/>
      <c r="W217" s="312"/>
      <c r="X217" s="312"/>
      <c r="Y217" s="312"/>
    </row>
    <row r="218" spans="3:25" s="313" customFormat="1">
      <c r="C218" s="346"/>
      <c r="E218" s="314"/>
      <c r="F218" s="334"/>
      <c r="G218" s="334"/>
      <c r="H218" s="334"/>
      <c r="I218" s="334"/>
      <c r="K218" s="312"/>
      <c r="L218" s="312"/>
      <c r="M218" s="312"/>
      <c r="N218" s="312"/>
      <c r="O218" s="312"/>
      <c r="P218" s="312"/>
      <c r="Q218" s="312"/>
      <c r="R218" s="312"/>
      <c r="S218" s="312"/>
      <c r="T218" s="312"/>
      <c r="U218" s="312"/>
      <c r="V218" s="312"/>
      <c r="W218" s="312"/>
      <c r="X218" s="312"/>
      <c r="Y218" s="312"/>
    </row>
    <row r="219" spans="3:25" s="313" customFormat="1">
      <c r="C219" s="335" t="s">
        <v>369</v>
      </c>
      <c r="D219" s="336">
        <f t="shared" ref="D219" si="97">+E219</f>
        <v>1</v>
      </c>
      <c r="E219" s="337">
        <f t="shared" ref="E219" si="98">+PRODUCT(F219:I219)</f>
        <v>1</v>
      </c>
      <c r="F219" s="338">
        <v>1</v>
      </c>
      <c r="G219" s="348">
        <v>1</v>
      </c>
      <c r="H219" s="338"/>
      <c r="I219" s="339"/>
      <c r="K219" s="312"/>
      <c r="L219" s="312"/>
      <c r="M219" s="312"/>
      <c r="N219" s="312"/>
      <c r="O219" s="312"/>
      <c r="P219" s="312"/>
      <c r="Q219" s="312"/>
      <c r="R219" s="312"/>
      <c r="S219" s="312"/>
      <c r="T219" s="312"/>
      <c r="U219" s="312"/>
      <c r="V219" s="312"/>
      <c r="W219" s="312"/>
      <c r="X219" s="312"/>
      <c r="Y219" s="312"/>
    </row>
    <row r="220" spans="3:25" s="313" customFormat="1">
      <c r="C220" s="346"/>
      <c r="E220" s="314"/>
      <c r="F220" s="334"/>
      <c r="G220" s="334"/>
      <c r="H220" s="334"/>
      <c r="I220" s="334"/>
      <c r="K220" s="312"/>
      <c r="L220" s="312"/>
      <c r="M220" s="312"/>
      <c r="N220" s="312"/>
      <c r="O220" s="312"/>
      <c r="P220" s="312"/>
      <c r="Q220" s="312"/>
      <c r="R220" s="312"/>
      <c r="S220" s="312"/>
      <c r="T220" s="312"/>
      <c r="U220" s="312"/>
      <c r="V220" s="312"/>
      <c r="W220" s="312"/>
      <c r="X220" s="312"/>
      <c r="Y220" s="312"/>
    </row>
    <row r="221" spans="3:25" s="313" customFormat="1">
      <c r="C221" s="335" t="s">
        <v>370</v>
      </c>
      <c r="D221" s="336">
        <f t="shared" ref="D221" si="99">+E221</f>
        <v>1</v>
      </c>
      <c r="E221" s="337">
        <f t="shared" ref="E221" si="100">+PRODUCT(F221:I221)</f>
        <v>1</v>
      </c>
      <c r="F221" s="338">
        <v>1</v>
      </c>
      <c r="G221" s="348">
        <v>1</v>
      </c>
      <c r="H221" s="338"/>
      <c r="I221" s="339"/>
      <c r="K221" s="312"/>
      <c r="L221" s="312"/>
      <c r="M221" s="312"/>
      <c r="N221" s="312"/>
      <c r="O221" s="312"/>
      <c r="P221" s="312"/>
      <c r="Q221" s="312"/>
      <c r="R221" s="312"/>
      <c r="S221" s="312"/>
      <c r="T221" s="312"/>
      <c r="U221" s="312"/>
      <c r="V221" s="312"/>
      <c r="W221" s="312"/>
      <c r="X221" s="312"/>
      <c r="Y221" s="312"/>
    </row>
    <row r="223" spans="3:25" hidden="1"/>
    <row r="224" spans="3:25" hidden="1"/>
    <row r="225" spans="3:25" hidden="1"/>
    <row r="226" spans="3:25" hidden="1"/>
    <row r="227" spans="3:25" hidden="1"/>
    <row r="228" spans="3:25" s="355" customFormat="1" ht="21" hidden="1">
      <c r="C228" s="352" t="s">
        <v>381</v>
      </c>
      <c r="D228" s="353"/>
      <c r="E228" s="353"/>
      <c r="F228" s="353"/>
      <c r="G228" s="353"/>
      <c r="H228" s="353"/>
      <c r="I228" s="354"/>
    </row>
    <row r="229" spans="3:25" s="313" customFormat="1" hidden="1">
      <c r="C229" s="316"/>
      <c r="D229" s="314" t="s">
        <v>329</v>
      </c>
      <c r="E229" s="314">
        <v>3.4</v>
      </c>
      <c r="F229" s="314"/>
      <c r="G229" s="314" t="s">
        <v>330</v>
      </c>
      <c r="H229" s="314">
        <v>0.2</v>
      </c>
      <c r="I229" s="315"/>
      <c r="K229" s="312"/>
      <c r="L229" s="312"/>
      <c r="M229" s="312"/>
      <c r="N229" s="312"/>
      <c r="O229" s="312"/>
      <c r="P229" s="312"/>
      <c r="Q229" s="312"/>
      <c r="R229" s="312"/>
      <c r="S229" s="312"/>
      <c r="T229" s="312"/>
      <c r="U229" s="312"/>
      <c r="V229" s="312"/>
      <c r="W229" s="312"/>
      <c r="X229" s="312"/>
      <c r="Y229" s="312"/>
    </row>
    <row r="230" spans="3:25" s="313" customFormat="1" hidden="1">
      <c r="C230" s="316"/>
      <c r="D230" s="314" t="s">
        <v>331</v>
      </c>
      <c r="E230" s="314">
        <v>2.8</v>
      </c>
      <c r="F230" s="314"/>
      <c r="G230" s="314" t="s">
        <v>332</v>
      </c>
      <c r="H230" s="314">
        <v>0.2</v>
      </c>
      <c r="I230" s="315"/>
      <c r="K230" s="312"/>
      <c r="L230" s="312"/>
      <c r="M230" s="312"/>
      <c r="N230" s="312"/>
      <c r="O230" s="312"/>
      <c r="P230" s="312"/>
      <c r="Q230" s="312"/>
      <c r="R230" s="312"/>
      <c r="S230" s="312"/>
      <c r="T230" s="312"/>
      <c r="U230" s="312"/>
      <c r="V230" s="312"/>
      <c r="W230" s="312"/>
      <c r="X230" s="312"/>
      <c r="Y230" s="312"/>
    </row>
    <row r="231" spans="3:25" s="313" customFormat="1" hidden="1">
      <c r="C231" s="316"/>
      <c r="D231" s="314" t="s">
        <v>333</v>
      </c>
      <c r="E231" s="314">
        <v>2.5</v>
      </c>
      <c r="F231" s="314"/>
      <c r="G231" s="314" t="s">
        <v>334</v>
      </c>
      <c r="H231" s="314">
        <v>0.2</v>
      </c>
      <c r="I231" s="315"/>
      <c r="K231" s="312"/>
      <c r="L231" s="312"/>
      <c r="M231" s="312"/>
      <c r="N231" s="312"/>
      <c r="O231" s="312"/>
      <c r="P231" s="312"/>
      <c r="Q231" s="312"/>
      <c r="R231" s="312"/>
      <c r="S231" s="312"/>
      <c r="T231" s="312"/>
      <c r="U231" s="312"/>
      <c r="V231" s="312"/>
      <c r="W231" s="312"/>
      <c r="X231" s="312"/>
      <c r="Y231" s="312"/>
    </row>
    <row r="232" spans="3:25" s="313" customFormat="1" hidden="1">
      <c r="C232" s="316"/>
      <c r="D232" s="314" t="s">
        <v>335</v>
      </c>
      <c r="E232" s="314">
        <v>2.1</v>
      </c>
      <c r="F232" s="314"/>
      <c r="G232" s="314"/>
      <c r="H232" s="314"/>
      <c r="I232" s="315"/>
      <c r="K232" s="312"/>
      <c r="L232" s="312"/>
      <c r="M232" s="312"/>
      <c r="N232" s="312"/>
      <c r="O232" s="312"/>
      <c r="P232" s="312"/>
      <c r="Q232" s="312"/>
      <c r="R232" s="312"/>
      <c r="S232" s="312"/>
      <c r="T232" s="312"/>
      <c r="U232" s="312"/>
      <c r="V232" s="312"/>
      <c r="W232" s="312"/>
      <c r="X232" s="312"/>
      <c r="Y232" s="312"/>
    </row>
    <row r="233" spans="3:25" s="313" customFormat="1" hidden="1">
      <c r="C233" s="316"/>
      <c r="I233" s="315"/>
      <c r="K233" s="312"/>
      <c r="L233" s="312"/>
      <c r="M233" s="312"/>
      <c r="N233" s="312"/>
      <c r="O233" s="312"/>
      <c r="P233" s="312"/>
      <c r="Q233" s="312"/>
      <c r="R233" s="312"/>
      <c r="S233" s="312"/>
      <c r="T233" s="312"/>
      <c r="U233" s="312"/>
      <c r="V233" s="312"/>
      <c r="W233" s="312"/>
      <c r="X233" s="312"/>
      <c r="Y233" s="312"/>
    </row>
    <row r="234" spans="3:25" s="313" customFormat="1" hidden="1">
      <c r="C234" s="312"/>
      <c r="F234" s="313" t="s">
        <v>227</v>
      </c>
      <c r="G234" s="313" t="s">
        <v>336</v>
      </c>
      <c r="H234" s="313" t="s">
        <v>226</v>
      </c>
      <c r="I234" s="313" t="s">
        <v>2</v>
      </c>
      <c r="K234" s="312"/>
      <c r="L234" s="312"/>
      <c r="M234" s="312"/>
      <c r="N234" s="312"/>
      <c r="O234" s="312"/>
      <c r="P234" s="312"/>
      <c r="Q234" s="312"/>
      <c r="R234" s="312"/>
      <c r="S234" s="312"/>
      <c r="T234" s="312"/>
      <c r="U234" s="312"/>
      <c r="V234" s="312"/>
      <c r="W234" s="312"/>
      <c r="X234" s="312"/>
      <c r="Y234" s="312"/>
    </row>
    <row r="235" spans="3:25" s="313" customFormat="1" hidden="1">
      <c r="C235" s="317" t="s">
        <v>337</v>
      </c>
      <c r="D235" s="318">
        <f>+E235</f>
        <v>9.52</v>
      </c>
      <c r="E235" s="319">
        <f>+PRODUCT(F235:I235)</f>
        <v>9.52</v>
      </c>
      <c r="F235" s="320">
        <v>1</v>
      </c>
      <c r="G235" s="320">
        <f>+E229</f>
        <v>3.4</v>
      </c>
      <c r="H235" s="320">
        <f>+E230</f>
        <v>2.8</v>
      </c>
      <c r="I235" s="321"/>
      <c r="K235" s="312"/>
      <c r="L235" s="312"/>
      <c r="M235" s="312"/>
      <c r="N235" s="312"/>
      <c r="O235" s="312"/>
      <c r="P235" s="312"/>
      <c r="Q235" s="312"/>
      <c r="R235" s="312"/>
      <c r="S235" s="312"/>
      <c r="T235" s="312"/>
      <c r="U235" s="312"/>
      <c r="V235" s="312"/>
      <c r="W235" s="312"/>
      <c r="X235" s="312"/>
      <c r="Y235" s="312"/>
    </row>
    <row r="236" spans="3:25" s="313" customFormat="1" hidden="1">
      <c r="C236" s="322" t="s">
        <v>338</v>
      </c>
      <c r="D236" s="323">
        <f t="shared" ref="D236" si="101">+E236</f>
        <v>9.52</v>
      </c>
      <c r="E236" s="324">
        <f t="shared" ref="E236:E242" si="102">+PRODUCT(F236:I236)</f>
        <v>9.52</v>
      </c>
      <c r="F236" s="325">
        <f t="shared" ref="F236:H237" si="103">+F235</f>
        <v>1</v>
      </c>
      <c r="G236" s="325">
        <f t="shared" si="103"/>
        <v>3.4</v>
      </c>
      <c r="H236" s="325">
        <f t="shared" si="103"/>
        <v>2.8</v>
      </c>
      <c r="I236" s="326"/>
      <c r="K236" s="312"/>
      <c r="L236" s="312"/>
      <c r="M236" s="312"/>
      <c r="N236" s="312"/>
      <c r="O236" s="312"/>
      <c r="P236" s="312"/>
      <c r="Q236" s="312"/>
      <c r="R236" s="312"/>
      <c r="S236" s="312"/>
      <c r="T236" s="312"/>
      <c r="U236" s="312"/>
      <c r="V236" s="312"/>
      <c r="W236" s="312"/>
      <c r="X236" s="312"/>
      <c r="Y236" s="312"/>
    </row>
    <row r="237" spans="3:25" s="313" customFormat="1" hidden="1">
      <c r="C237" s="322" t="s">
        <v>339</v>
      </c>
      <c r="D237" s="323">
        <f>SUM(E237:E239)</f>
        <v>40.192</v>
      </c>
      <c r="E237" s="324">
        <f t="shared" si="102"/>
        <v>23.799999999999997</v>
      </c>
      <c r="F237" s="325">
        <f t="shared" si="103"/>
        <v>1</v>
      </c>
      <c r="G237" s="325">
        <f t="shared" si="103"/>
        <v>3.4</v>
      </c>
      <c r="H237" s="325">
        <f t="shared" si="103"/>
        <v>2.8</v>
      </c>
      <c r="I237" s="326">
        <f>+E231</f>
        <v>2.5</v>
      </c>
      <c r="K237" s="312"/>
      <c r="L237" s="312"/>
      <c r="M237" s="312"/>
      <c r="N237" s="312"/>
      <c r="O237" s="312"/>
      <c r="P237" s="312"/>
      <c r="Q237" s="312"/>
      <c r="R237" s="312"/>
      <c r="S237" s="312"/>
      <c r="T237" s="312"/>
      <c r="U237" s="312"/>
      <c r="V237" s="312"/>
      <c r="W237" s="312"/>
      <c r="X237" s="312"/>
      <c r="Y237" s="312"/>
    </row>
    <row r="238" spans="3:25" s="313" customFormat="1" hidden="1">
      <c r="C238" s="327" t="s">
        <v>340</v>
      </c>
      <c r="D238" s="324"/>
      <c r="E238" s="324">
        <f t="shared" si="102"/>
        <v>16.32</v>
      </c>
      <c r="F238" s="325">
        <v>0.8</v>
      </c>
      <c r="G238" s="325">
        <f>+(G237*2+1.2)+H237*2</f>
        <v>13.6</v>
      </c>
      <c r="H238" s="325">
        <v>0.6</v>
      </c>
      <c r="I238" s="326">
        <f>+I237</f>
        <v>2.5</v>
      </c>
      <c r="K238" s="312"/>
      <c r="L238" s="312"/>
      <c r="M238" s="312"/>
      <c r="N238" s="312"/>
      <c r="O238" s="312"/>
      <c r="P238" s="312"/>
      <c r="Q238" s="312"/>
      <c r="R238" s="312"/>
      <c r="S238" s="312"/>
      <c r="T238" s="312"/>
      <c r="U238" s="312"/>
      <c r="V238" s="312"/>
      <c r="W238" s="312"/>
      <c r="X238" s="312"/>
      <c r="Y238" s="312"/>
    </row>
    <row r="239" spans="3:25" s="313" customFormat="1" hidden="1">
      <c r="C239" s="327"/>
      <c r="D239" s="324"/>
      <c r="E239" s="324">
        <f t="shared" si="102"/>
        <v>7.1999999999999995E-2</v>
      </c>
      <c r="F239" s="325">
        <v>0.8</v>
      </c>
      <c r="G239" s="325">
        <v>0.3</v>
      </c>
      <c r="H239" s="325">
        <v>0.3</v>
      </c>
      <c r="I239" s="326">
        <v>1</v>
      </c>
      <c r="K239" s="312"/>
      <c r="L239" s="312"/>
      <c r="M239" s="312"/>
      <c r="N239" s="312"/>
      <c r="O239" s="312"/>
      <c r="P239" s="312"/>
      <c r="Q239" s="312"/>
      <c r="R239" s="312"/>
      <c r="S239" s="312"/>
      <c r="T239" s="312"/>
      <c r="U239" s="312"/>
      <c r="V239" s="312"/>
      <c r="W239" s="312"/>
      <c r="X239" s="312"/>
      <c r="Y239" s="312"/>
    </row>
    <row r="240" spans="3:25" s="313" customFormat="1" hidden="1">
      <c r="C240" s="322" t="s">
        <v>341</v>
      </c>
      <c r="D240" s="323">
        <f>+E240</f>
        <v>9.52</v>
      </c>
      <c r="E240" s="324">
        <f t="shared" si="102"/>
        <v>9.52</v>
      </c>
      <c r="F240" s="325">
        <f>+F237</f>
        <v>1</v>
      </c>
      <c r="G240" s="325">
        <f>+G237</f>
        <v>3.4</v>
      </c>
      <c r="H240" s="325">
        <f>+H237</f>
        <v>2.8</v>
      </c>
      <c r="I240" s="326"/>
      <c r="K240" s="312"/>
      <c r="L240" s="312"/>
      <c r="M240" s="312"/>
      <c r="N240" s="312"/>
      <c r="O240" s="312"/>
      <c r="P240" s="312"/>
      <c r="Q240" s="312"/>
      <c r="R240" s="312"/>
      <c r="S240" s="312"/>
      <c r="T240" s="312"/>
      <c r="U240" s="312"/>
      <c r="V240" s="312"/>
      <c r="W240" s="312"/>
      <c r="X240" s="312"/>
      <c r="Y240" s="312"/>
    </row>
    <row r="241" spans="3:25" s="313" customFormat="1" hidden="1">
      <c r="C241" s="322" t="s">
        <v>342</v>
      </c>
      <c r="D241" s="323">
        <f t="shared" ref="D241:D277" si="104">+E241</f>
        <v>16.32</v>
      </c>
      <c r="E241" s="324">
        <f t="shared" si="102"/>
        <v>16.32</v>
      </c>
      <c r="F241" s="325">
        <f>+E238</f>
        <v>16.32</v>
      </c>
      <c r="G241" s="325"/>
      <c r="H241" s="325"/>
      <c r="I241" s="326"/>
      <c r="K241" s="312"/>
      <c r="L241" s="312"/>
      <c r="M241" s="312"/>
      <c r="N241" s="312"/>
      <c r="O241" s="312"/>
      <c r="P241" s="312"/>
      <c r="Q241" s="312"/>
      <c r="R241" s="312"/>
      <c r="S241" s="312"/>
      <c r="T241" s="312"/>
      <c r="U241" s="312"/>
      <c r="V241" s="312"/>
      <c r="W241" s="312"/>
      <c r="X241" s="312"/>
      <c r="Y241" s="312"/>
    </row>
    <row r="242" spans="3:25" s="313" customFormat="1" hidden="1">
      <c r="C242" s="328" t="s">
        <v>343</v>
      </c>
      <c r="D242" s="329">
        <f t="shared" si="104"/>
        <v>23.872</v>
      </c>
      <c r="E242" s="330">
        <f t="shared" si="102"/>
        <v>23.872</v>
      </c>
      <c r="F242" s="331">
        <f>+D237-D241</f>
        <v>23.872</v>
      </c>
      <c r="G242" s="331"/>
      <c r="H242" s="331"/>
      <c r="I242" s="332"/>
      <c r="K242" s="312"/>
      <c r="L242" s="312"/>
      <c r="M242" s="312"/>
      <c r="N242" s="312"/>
      <c r="O242" s="312"/>
      <c r="P242" s="312"/>
      <c r="Q242" s="312"/>
      <c r="R242" s="312"/>
      <c r="S242" s="312"/>
      <c r="T242" s="312"/>
      <c r="U242" s="312"/>
      <c r="V242" s="312"/>
      <c r="W242" s="312"/>
      <c r="X242" s="312"/>
      <c r="Y242" s="312"/>
    </row>
    <row r="243" spans="3:25" s="313" customFormat="1" hidden="1">
      <c r="C243" s="333"/>
      <c r="D243" s="310"/>
      <c r="E243" s="314"/>
      <c r="F243" s="334"/>
      <c r="G243" s="334"/>
      <c r="H243" s="334"/>
      <c r="I243" s="334"/>
      <c r="K243" s="312"/>
      <c r="L243" s="312"/>
      <c r="M243" s="312"/>
      <c r="N243" s="312"/>
      <c r="O243" s="312"/>
      <c r="P243" s="312"/>
      <c r="Q243" s="312"/>
      <c r="R243" s="312"/>
      <c r="S243" s="312"/>
      <c r="T243" s="312"/>
      <c r="U243" s="312"/>
      <c r="V243" s="312"/>
      <c r="W243" s="312"/>
      <c r="X243" s="312"/>
      <c r="Y243" s="312"/>
    </row>
    <row r="244" spans="3:25" s="313" customFormat="1" hidden="1">
      <c r="C244" s="335" t="s">
        <v>344</v>
      </c>
      <c r="D244" s="336">
        <f t="shared" si="104"/>
        <v>6.3E-2</v>
      </c>
      <c r="E244" s="337">
        <f t="shared" ref="E244" si="105">+PRODUCT(F244:I244)</f>
        <v>6.3E-2</v>
      </c>
      <c r="F244" s="338">
        <v>1</v>
      </c>
      <c r="G244" s="338">
        <v>0.3</v>
      </c>
      <c r="H244" s="338">
        <v>0.3</v>
      </c>
      <c r="I244" s="339">
        <v>0.7</v>
      </c>
      <c r="K244" s="312"/>
      <c r="L244" s="312"/>
      <c r="M244" s="312"/>
      <c r="N244" s="312"/>
      <c r="O244" s="312"/>
      <c r="P244" s="312"/>
      <c r="Q244" s="312"/>
      <c r="R244" s="312"/>
      <c r="S244" s="312"/>
      <c r="T244" s="312"/>
      <c r="U244" s="312"/>
      <c r="V244" s="312"/>
      <c r="W244" s="312"/>
      <c r="X244" s="312"/>
      <c r="Y244" s="312"/>
    </row>
    <row r="245" spans="3:25" s="313" customFormat="1" hidden="1">
      <c r="C245" s="333"/>
      <c r="D245" s="310"/>
      <c r="E245" s="314"/>
      <c r="F245" s="334"/>
      <c r="G245" s="334"/>
      <c r="H245" s="334"/>
      <c r="I245" s="334"/>
      <c r="K245" s="312"/>
      <c r="L245" s="312"/>
      <c r="M245" s="312"/>
      <c r="N245" s="312"/>
      <c r="O245" s="312"/>
      <c r="P245" s="312"/>
      <c r="Q245" s="312"/>
      <c r="R245" s="312"/>
      <c r="S245" s="312"/>
      <c r="T245" s="312"/>
      <c r="U245" s="312"/>
      <c r="V245" s="312"/>
      <c r="W245" s="312"/>
      <c r="X245" s="312"/>
      <c r="Y245" s="312"/>
    </row>
    <row r="246" spans="3:25" s="313" customFormat="1" hidden="1">
      <c r="C246" s="335" t="s">
        <v>345</v>
      </c>
      <c r="D246" s="336">
        <f t="shared" si="104"/>
        <v>0.95199999999999996</v>
      </c>
      <c r="E246" s="337">
        <f t="shared" ref="E246" si="106">+PRODUCT(F246:I246)</f>
        <v>0.95199999999999996</v>
      </c>
      <c r="F246" s="338">
        <f>+F235</f>
        <v>1</v>
      </c>
      <c r="G246" s="338">
        <f>+G235</f>
        <v>3.4</v>
      </c>
      <c r="H246" s="338">
        <f>+H235</f>
        <v>2.8</v>
      </c>
      <c r="I246" s="339">
        <v>0.1</v>
      </c>
      <c r="K246" s="312"/>
      <c r="L246" s="312"/>
      <c r="M246" s="312"/>
      <c r="N246" s="312"/>
      <c r="O246" s="312"/>
      <c r="P246" s="312"/>
      <c r="Q246" s="312"/>
      <c r="R246" s="312"/>
      <c r="S246" s="312"/>
      <c r="T246" s="312"/>
      <c r="U246" s="312"/>
      <c r="V246" s="312"/>
      <c r="W246" s="312"/>
      <c r="X246" s="312"/>
      <c r="Y246" s="312"/>
    </row>
    <row r="247" spans="3:25" hidden="1">
      <c r="C247" s="333"/>
      <c r="D247" s="340"/>
      <c r="F247" s="334"/>
      <c r="G247" s="334"/>
      <c r="H247" s="334"/>
      <c r="I247" s="334"/>
      <c r="K247" s="311" t="s">
        <v>346</v>
      </c>
      <c r="L247" s="309" t="s">
        <v>336</v>
      </c>
      <c r="M247" s="312" t="s">
        <v>347</v>
      </c>
      <c r="N247" s="309" t="s">
        <v>227</v>
      </c>
      <c r="O247" s="309" t="s">
        <v>348</v>
      </c>
      <c r="P247" s="309" t="s">
        <v>349</v>
      </c>
      <c r="Q247" s="309" t="s">
        <v>350</v>
      </c>
    </row>
    <row r="248" spans="3:25" hidden="1">
      <c r="C248" s="317" t="s">
        <v>351</v>
      </c>
      <c r="D248" s="341">
        <f t="shared" si="104"/>
        <v>5.808E-2</v>
      </c>
      <c r="E248" s="319">
        <f t="shared" ref="E248:E250" si="107">+PRODUCT(F248:I248)</f>
        <v>5.808E-2</v>
      </c>
      <c r="F248" s="320">
        <v>1</v>
      </c>
      <c r="G248" s="342">
        <v>0.55000000000000004</v>
      </c>
      <c r="H248" s="320">
        <v>0.22</v>
      </c>
      <c r="I248" s="321">
        <v>0.48</v>
      </c>
      <c r="K248" s="312" t="s">
        <v>352</v>
      </c>
      <c r="L248" s="312">
        <f>+G248+0.3*2-0.08</f>
        <v>1.0699999999999998</v>
      </c>
      <c r="M248" s="312">
        <v>2</v>
      </c>
      <c r="N248" s="312">
        <f>ROUND((G248-0.08)/0.15+1,0)</f>
        <v>4</v>
      </c>
      <c r="O248" s="343">
        <v>0.375</v>
      </c>
      <c r="P248" s="312">
        <v>0.56000000000000005</v>
      </c>
      <c r="Q248" s="313">
        <f>+L248*M248*N248*P248</f>
        <v>4.7935999999999996</v>
      </c>
    </row>
    <row r="249" spans="3:25" hidden="1">
      <c r="C249" s="322" t="s">
        <v>353</v>
      </c>
      <c r="D249" s="344">
        <f t="shared" si="104"/>
        <v>0.73919999999999997</v>
      </c>
      <c r="E249" s="324">
        <f t="shared" si="107"/>
        <v>0.73919999999999997</v>
      </c>
      <c r="F249" s="325">
        <v>1</v>
      </c>
      <c r="G249" s="325">
        <f>+G248*2+H248*2</f>
        <v>1.54</v>
      </c>
      <c r="H249" s="325"/>
      <c r="I249" s="326">
        <v>0.48</v>
      </c>
    </row>
    <row r="250" spans="3:25" hidden="1">
      <c r="C250" s="328" t="s">
        <v>354</v>
      </c>
      <c r="D250" s="345">
        <f t="shared" si="104"/>
        <v>4.7935999999999996</v>
      </c>
      <c r="E250" s="330">
        <f t="shared" si="107"/>
        <v>4.7935999999999996</v>
      </c>
      <c r="F250" s="331">
        <f>+Q248</f>
        <v>4.7935999999999996</v>
      </c>
      <c r="G250" s="331"/>
      <c r="H250" s="331"/>
      <c r="I250" s="332"/>
    </row>
    <row r="251" spans="3:25" hidden="1">
      <c r="C251" s="333"/>
      <c r="D251" s="310"/>
      <c r="E251" s="314"/>
      <c r="F251" s="334"/>
      <c r="G251" s="334"/>
      <c r="H251" s="334"/>
      <c r="I251" s="334"/>
      <c r="K251" s="311" t="s">
        <v>355</v>
      </c>
      <c r="L251" s="309" t="s">
        <v>336</v>
      </c>
      <c r="M251" s="312" t="s">
        <v>347</v>
      </c>
      <c r="N251" s="309" t="s">
        <v>227</v>
      </c>
      <c r="O251" s="309" t="s">
        <v>348</v>
      </c>
      <c r="P251" s="309" t="s">
        <v>349</v>
      </c>
      <c r="Q251" s="309" t="s">
        <v>350</v>
      </c>
    </row>
    <row r="252" spans="3:25" hidden="1">
      <c r="C252" s="317" t="s">
        <v>356</v>
      </c>
      <c r="D252" s="341">
        <f t="shared" si="104"/>
        <v>1.9039999999999999</v>
      </c>
      <c r="E252" s="319">
        <f t="shared" ref="E252:E254" si="108">+PRODUCT(F252:I252)</f>
        <v>1.9039999999999999</v>
      </c>
      <c r="F252" s="320">
        <v>1</v>
      </c>
      <c r="G252" s="320">
        <f>+E229</f>
        <v>3.4</v>
      </c>
      <c r="H252" s="320">
        <f>+E230</f>
        <v>2.8</v>
      </c>
      <c r="I252" s="321">
        <f>+H229</f>
        <v>0.2</v>
      </c>
      <c r="K252" s="312" t="s">
        <v>352</v>
      </c>
      <c r="L252" s="312">
        <f>+E229+0.3*2-0.08</f>
        <v>3.92</v>
      </c>
      <c r="M252" s="312">
        <v>2</v>
      </c>
      <c r="N252" s="312">
        <f>ROUND((E230-0.08)/0.25+1,0)</f>
        <v>12</v>
      </c>
      <c r="O252" s="343">
        <v>0.375</v>
      </c>
      <c r="P252" s="312">
        <v>0.56000000000000005</v>
      </c>
      <c r="Q252" s="313">
        <f>+L252*M252*N252*P252</f>
        <v>52.684800000000003</v>
      </c>
    </row>
    <row r="253" spans="3:25" hidden="1">
      <c r="C253" s="322" t="s">
        <v>353</v>
      </c>
      <c r="D253" s="344">
        <f t="shared" si="104"/>
        <v>2.48</v>
      </c>
      <c r="E253" s="324">
        <f t="shared" si="108"/>
        <v>2.48</v>
      </c>
      <c r="F253" s="325">
        <v>1</v>
      </c>
      <c r="G253" s="325">
        <f>+G252*2+H252*2</f>
        <v>12.399999999999999</v>
      </c>
      <c r="H253" s="325"/>
      <c r="I253" s="326">
        <f>+I252</f>
        <v>0.2</v>
      </c>
      <c r="K253" s="312" t="s">
        <v>357</v>
      </c>
      <c r="L253" s="312">
        <f>+E230+0.3*2-0.08</f>
        <v>3.32</v>
      </c>
      <c r="M253" s="312">
        <v>2</v>
      </c>
      <c r="N253" s="312">
        <f>ROUND((E229-0.08)/0.25+1,0)</f>
        <v>14</v>
      </c>
      <c r="O253" s="343">
        <v>0.375</v>
      </c>
      <c r="P253" s="312">
        <v>0.56000000000000005</v>
      </c>
      <c r="Q253" s="313">
        <f>+L253*M253*N253*P253</f>
        <v>52.057600000000001</v>
      </c>
    </row>
    <row r="254" spans="3:25" hidden="1">
      <c r="C254" s="328" t="s">
        <v>354</v>
      </c>
      <c r="D254" s="345">
        <f t="shared" si="104"/>
        <v>104.7424</v>
      </c>
      <c r="E254" s="330">
        <f t="shared" si="108"/>
        <v>104.7424</v>
      </c>
      <c r="F254" s="331">
        <f>+Q254</f>
        <v>104.7424</v>
      </c>
      <c r="G254" s="331"/>
      <c r="H254" s="331"/>
      <c r="I254" s="332"/>
      <c r="Q254" s="310">
        <f>SUM(Q252:Q253)</f>
        <v>104.7424</v>
      </c>
    </row>
    <row r="255" spans="3:25" hidden="1">
      <c r="C255" s="333"/>
      <c r="D255" s="310"/>
      <c r="E255" s="314"/>
      <c r="F255" s="334"/>
      <c r="G255" s="334"/>
      <c r="H255" s="334"/>
      <c r="I255" s="334"/>
    </row>
    <row r="256" spans="3:25" hidden="1">
      <c r="C256" s="317" t="s">
        <v>358</v>
      </c>
      <c r="D256" s="341">
        <f t="shared" si="104"/>
        <v>4.8719999999999999</v>
      </c>
      <c r="E256" s="319">
        <f t="shared" ref="E256:E259" si="109">+PRODUCT(F256:I256)</f>
        <v>4.8719999999999999</v>
      </c>
      <c r="F256" s="320">
        <v>1</v>
      </c>
      <c r="G256" s="320">
        <f>+E229*2+(E230-2*H230)*2</f>
        <v>11.6</v>
      </c>
      <c r="H256" s="320">
        <f>+H230</f>
        <v>0.2</v>
      </c>
      <c r="I256" s="321">
        <f>+E232</f>
        <v>2.1</v>
      </c>
      <c r="K256" s="311" t="s">
        <v>359</v>
      </c>
      <c r="L256" s="309" t="s">
        <v>336</v>
      </c>
      <c r="M256" s="312" t="s">
        <v>360</v>
      </c>
      <c r="N256" s="309" t="s">
        <v>227</v>
      </c>
      <c r="O256" s="309" t="s">
        <v>348</v>
      </c>
      <c r="P256" s="309" t="s">
        <v>349</v>
      </c>
      <c r="Q256" s="309" t="s">
        <v>350</v>
      </c>
      <c r="S256" s="311" t="s">
        <v>361</v>
      </c>
      <c r="T256" s="309" t="s">
        <v>336</v>
      </c>
      <c r="U256" s="312" t="s">
        <v>360</v>
      </c>
      <c r="V256" s="309" t="s">
        <v>227</v>
      </c>
      <c r="W256" s="309" t="s">
        <v>348</v>
      </c>
      <c r="X256" s="309" t="s">
        <v>349</v>
      </c>
      <c r="Y256" s="309" t="s">
        <v>350</v>
      </c>
    </row>
    <row r="257" spans="3:25" hidden="1">
      <c r="C257" s="322" t="s">
        <v>353</v>
      </c>
      <c r="D257" s="344">
        <f>+E257+E258</f>
        <v>48.72</v>
      </c>
      <c r="E257" s="324">
        <f t="shared" si="109"/>
        <v>26.04</v>
      </c>
      <c r="F257" s="325">
        <v>1</v>
      </c>
      <c r="G257" s="325">
        <f>+(E229+E230)*2</f>
        <v>12.399999999999999</v>
      </c>
      <c r="H257" s="325"/>
      <c r="I257" s="326">
        <f>+I256</f>
        <v>2.1</v>
      </c>
      <c r="K257" s="312" t="s">
        <v>362</v>
      </c>
      <c r="L257" s="312">
        <f>+E229+0.3*2-0.08</f>
        <v>3.92</v>
      </c>
      <c r="M257" s="312">
        <f>2+2</f>
        <v>4</v>
      </c>
      <c r="N257" s="312">
        <f>ROUND((E232-0.08)/0.25+1,0)</f>
        <v>9</v>
      </c>
      <c r="O257" s="343">
        <v>0.375</v>
      </c>
      <c r="P257" s="312">
        <v>0.56000000000000005</v>
      </c>
      <c r="Q257" s="313">
        <f t="shared" ref="Q257:Q258" si="110">+L257*M257*N257*P257</f>
        <v>79.027200000000008</v>
      </c>
      <c r="S257" s="312" t="s">
        <v>362</v>
      </c>
      <c r="T257" s="312">
        <f>+E230+0.3*2-0.08</f>
        <v>3.32</v>
      </c>
      <c r="U257" s="312">
        <f>2+2</f>
        <v>4</v>
      </c>
      <c r="V257" s="312">
        <f>ROUND((E232-0.08)/0.25+1,0)</f>
        <v>9</v>
      </c>
      <c r="W257" s="343">
        <v>0.375</v>
      </c>
      <c r="X257" s="312">
        <v>0.56000000000000005</v>
      </c>
      <c r="Y257" s="313">
        <f t="shared" ref="Y257:Y258" si="111">+T257*U257*V257*X257</f>
        <v>66.931200000000004</v>
      </c>
    </row>
    <row r="258" spans="3:25" hidden="1">
      <c r="C258" s="322"/>
      <c r="D258" s="344"/>
      <c r="E258" s="324">
        <f t="shared" si="109"/>
        <v>22.680000000000003</v>
      </c>
      <c r="F258" s="325">
        <v>1</v>
      </c>
      <c r="G258" s="325">
        <f>+(E229-2*H230)*2+(E230-2*H230)*2</f>
        <v>10.8</v>
      </c>
      <c r="H258" s="325"/>
      <c r="I258" s="326">
        <f>+I257</f>
        <v>2.1</v>
      </c>
      <c r="K258" s="312" t="s">
        <v>363</v>
      </c>
      <c r="L258" s="312">
        <f>+E232+0.3*2-0.04+H231+H229</f>
        <v>3.0600000000000005</v>
      </c>
      <c r="M258" s="312">
        <f>2+2</f>
        <v>4</v>
      </c>
      <c r="N258" s="312">
        <f>ROUND((E229-0.08)/0.25+1,0)</f>
        <v>14</v>
      </c>
      <c r="O258" s="343">
        <v>0.375</v>
      </c>
      <c r="P258" s="312">
        <v>0.56000000000000005</v>
      </c>
      <c r="Q258" s="313">
        <f t="shared" si="110"/>
        <v>95.961600000000018</v>
      </c>
      <c r="S258" s="312" t="s">
        <v>363</v>
      </c>
      <c r="T258" s="312">
        <f>+E232+0.3*2-0.04+H231+H229</f>
        <v>3.0600000000000005</v>
      </c>
      <c r="U258" s="312">
        <f>2+2</f>
        <v>4</v>
      </c>
      <c r="V258" s="312">
        <f>ROUND((E230-0.08)/0.25+1,0)</f>
        <v>12</v>
      </c>
      <c r="W258" s="343">
        <v>0.375</v>
      </c>
      <c r="X258" s="312">
        <v>0.56000000000000005</v>
      </c>
      <c r="Y258" s="313">
        <f t="shared" si="111"/>
        <v>82.252800000000022</v>
      </c>
    </row>
    <row r="259" spans="3:25" hidden="1">
      <c r="C259" s="328" t="s">
        <v>354</v>
      </c>
      <c r="D259" s="345">
        <f t="shared" si="104"/>
        <v>324.17280000000005</v>
      </c>
      <c r="E259" s="330">
        <f t="shared" si="109"/>
        <v>324.17280000000005</v>
      </c>
      <c r="F259" s="331">
        <f>+Q259+Y259</f>
        <v>324.17280000000005</v>
      </c>
      <c r="G259" s="331"/>
      <c r="H259" s="331"/>
      <c r="I259" s="332"/>
      <c r="Q259" s="310">
        <f>SUM(Q257:Q258)</f>
        <v>174.98880000000003</v>
      </c>
      <c r="Y259" s="310">
        <f>SUM(Y257:Y258)</f>
        <v>149.18400000000003</v>
      </c>
    </row>
    <row r="260" spans="3:25" hidden="1">
      <c r="C260" s="346"/>
      <c r="E260" s="314"/>
      <c r="F260" s="334"/>
      <c r="G260" s="334"/>
      <c r="H260" s="334"/>
      <c r="I260" s="334"/>
    </row>
    <row r="261" spans="3:25" hidden="1">
      <c r="C261" s="317" t="s">
        <v>364</v>
      </c>
      <c r="D261" s="341">
        <f>+E261+E262</f>
        <v>1.504</v>
      </c>
      <c r="E261" s="319">
        <f t="shared" ref="E261:E267" si="112">+PRODUCT(F261:I261)</f>
        <v>1.9039999999999999</v>
      </c>
      <c r="F261" s="320">
        <v>1</v>
      </c>
      <c r="G261" s="320">
        <f>+G252</f>
        <v>3.4</v>
      </c>
      <c r="H261" s="320">
        <f>+H252</f>
        <v>2.8</v>
      </c>
      <c r="I261" s="321">
        <f>+H231</f>
        <v>0.2</v>
      </c>
      <c r="K261" s="311" t="s">
        <v>365</v>
      </c>
      <c r="L261" s="309" t="s">
        <v>336</v>
      </c>
      <c r="M261" s="312" t="s">
        <v>347</v>
      </c>
      <c r="N261" s="309" t="s">
        <v>227</v>
      </c>
      <c r="O261" s="309" t="s">
        <v>348</v>
      </c>
      <c r="P261" s="309" t="s">
        <v>349</v>
      </c>
      <c r="Q261" s="309" t="s">
        <v>350</v>
      </c>
    </row>
    <row r="262" spans="3:25" hidden="1">
      <c r="C262" s="322"/>
      <c r="D262" s="344"/>
      <c r="E262" s="324">
        <f t="shared" si="112"/>
        <v>-0.4</v>
      </c>
      <c r="F262" s="325">
        <v>-1</v>
      </c>
      <c r="G262" s="349">
        <v>0.8</v>
      </c>
      <c r="H262" s="349">
        <v>2.5</v>
      </c>
      <c r="I262" s="326">
        <f>+I261</f>
        <v>0.2</v>
      </c>
      <c r="K262" s="312" t="s">
        <v>352</v>
      </c>
      <c r="L262" s="350">
        <f>(E229-0.8)+0.3*2-0.08</f>
        <v>3.1199999999999997</v>
      </c>
      <c r="M262" s="312">
        <v>2</v>
      </c>
      <c r="N262" s="312">
        <f>ROUND((E230-0.08)/0.25+1,0)</f>
        <v>12</v>
      </c>
      <c r="O262" s="343">
        <v>0.375</v>
      </c>
      <c r="P262" s="312">
        <v>0.56000000000000005</v>
      </c>
      <c r="Q262" s="313">
        <f>+L262*M262*N262*P262*1.075</f>
        <v>45.077759999999998</v>
      </c>
    </row>
    <row r="263" spans="3:25" hidden="1">
      <c r="C263" s="322" t="s">
        <v>353</v>
      </c>
      <c r="D263" s="344">
        <f>SUM(E263:E266)</f>
        <v>3.9039999999999999</v>
      </c>
      <c r="E263" s="324">
        <f t="shared" si="112"/>
        <v>1.9039999999999999</v>
      </c>
      <c r="F263" s="325">
        <v>1</v>
      </c>
      <c r="G263" s="325">
        <f>+G261</f>
        <v>3.4</v>
      </c>
      <c r="H263" s="325">
        <f>+H261</f>
        <v>2.8</v>
      </c>
      <c r="I263" s="326">
        <f>+I261</f>
        <v>0.2</v>
      </c>
      <c r="K263" s="312" t="s">
        <v>357</v>
      </c>
      <c r="L263" s="312">
        <f>+E230+0.3*2-0.08</f>
        <v>3.32</v>
      </c>
      <c r="M263" s="312">
        <v>2</v>
      </c>
      <c r="N263" s="312">
        <f>ROUND((E229-0.08)/0.25+1,0)</f>
        <v>14</v>
      </c>
      <c r="O263" s="343">
        <v>0.375</v>
      </c>
      <c r="P263" s="312">
        <v>0.56000000000000005</v>
      </c>
      <c r="Q263" s="313">
        <f>+L263*M263*N263*P263*1.075</f>
        <v>55.961919999999999</v>
      </c>
    </row>
    <row r="264" spans="3:25" hidden="1">
      <c r="C264" s="322"/>
      <c r="D264" s="344"/>
      <c r="E264" s="324">
        <f t="shared" si="112"/>
        <v>-2</v>
      </c>
      <c r="F264" s="325">
        <v>-1</v>
      </c>
      <c r="G264" s="325">
        <f>+G262</f>
        <v>0.8</v>
      </c>
      <c r="H264" s="325">
        <f>+H262</f>
        <v>2.5</v>
      </c>
      <c r="I264" s="326"/>
      <c r="Q264" s="310">
        <f>SUM(Q262:Q263)</f>
        <v>101.03968</v>
      </c>
    </row>
    <row r="265" spans="3:25" hidden="1">
      <c r="C265" s="322"/>
      <c r="D265" s="344"/>
      <c r="E265" s="324">
        <f t="shared" si="112"/>
        <v>2.8</v>
      </c>
      <c r="F265" s="325">
        <v>1</v>
      </c>
      <c r="G265" s="325">
        <f>+G262*2</f>
        <v>1.6</v>
      </c>
      <c r="H265" s="325">
        <f>+H262*2</f>
        <v>5</v>
      </c>
      <c r="I265" s="347">
        <v>0.35</v>
      </c>
    </row>
    <row r="266" spans="3:25" hidden="1">
      <c r="C266" s="322"/>
      <c r="D266" s="344"/>
      <c r="E266" s="324">
        <f t="shared" si="112"/>
        <v>1.2</v>
      </c>
      <c r="F266" s="325">
        <v>1</v>
      </c>
      <c r="G266" s="325">
        <f>+G265</f>
        <v>1.6</v>
      </c>
      <c r="H266" s="325">
        <f>+H265</f>
        <v>5</v>
      </c>
      <c r="I266" s="347">
        <v>0.15</v>
      </c>
    </row>
    <row r="267" spans="3:25" hidden="1">
      <c r="C267" s="328" t="s">
        <v>354</v>
      </c>
      <c r="D267" s="345">
        <f t="shared" si="104"/>
        <v>101.03968</v>
      </c>
      <c r="E267" s="330">
        <f t="shared" si="112"/>
        <v>101.03968</v>
      </c>
      <c r="F267" s="331">
        <f>+Q264</f>
        <v>101.03968</v>
      </c>
      <c r="G267" s="331"/>
      <c r="H267" s="331"/>
      <c r="I267" s="332"/>
    </row>
    <row r="268" spans="3:25" hidden="1">
      <c r="C268" s="346"/>
      <c r="E268" s="314"/>
      <c r="F268" s="334"/>
      <c r="G268" s="334"/>
      <c r="H268" s="334"/>
      <c r="I268" s="334"/>
    </row>
    <row r="269" spans="3:25" hidden="1">
      <c r="C269" s="335" t="s">
        <v>366</v>
      </c>
      <c r="D269" s="336">
        <f t="shared" si="104"/>
        <v>22.680000000000003</v>
      </c>
      <c r="E269" s="337">
        <f t="shared" ref="E269" si="113">+PRODUCT(F269:I269)</f>
        <v>22.680000000000003</v>
      </c>
      <c r="F269" s="338">
        <v>1</v>
      </c>
      <c r="G269" s="338">
        <f>+G258</f>
        <v>10.8</v>
      </c>
      <c r="H269" s="338"/>
      <c r="I269" s="339">
        <f>+I256</f>
        <v>2.1</v>
      </c>
    </row>
    <row r="270" spans="3:25" hidden="1">
      <c r="C270" s="346"/>
      <c r="E270" s="314"/>
      <c r="F270" s="334"/>
      <c r="G270" s="334"/>
      <c r="H270" s="334"/>
      <c r="I270" s="334"/>
    </row>
    <row r="271" spans="3:25" hidden="1">
      <c r="C271" s="335" t="s">
        <v>367</v>
      </c>
      <c r="D271" s="336">
        <f t="shared" si="104"/>
        <v>7.1999999999999993</v>
      </c>
      <c r="E271" s="337">
        <f t="shared" ref="E271" si="114">+PRODUCT(F271:I271)</f>
        <v>7.1999999999999993</v>
      </c>
      <c r="F271" s="338">
        <v>1</v>
      </c>
      <c r="G271" s="338">
        <f>+G235-2*H230</f>
        <v>3</v>
      </c>
      <c r="H271" s="338">
        <f>+H235-2*H230</f>
        <v>2.4</v>
      </c>
      <c r="I271" s="339"/>
    </row>
    <row r="272" spans="3:25" hidden="1">
      <c r="C272" s="346"/>
      <c r="E272" s="314"/>
      <c r="F272" s="334"/>
      <c r="G272" s="334"/>
      <c r="H272" s="334"/>
      <c r="I272" s="334"/>
    </row>
    <row r="273" spans="3:13" hidden="1">
      <c r="C273" s="335" t="s">
        <v>368</v>
      </c>
      <c r="D273" s="336">
        <f t="shared" si="104"/>
        <v>2.1</v>
      </c>
      <c r="E273" s="337">
        <f t="shared" ref="E273" si="115">+PRODUCT(F273:I273)</f>
        <v>2.1</v>
      </c>
      <c r="F273" s="338">
        <v>1</v>
      </c>
      <c r="G273" s="338">
        <f>+E232</f>
        <v>2.1</v>
      </c>
      <c r="H273" s="338"/>
      <c r="I273" s="339"/>
    </row>
    <row r="274" spans="3:13" hidden="1">
      <c r="C274" s="346"/>
      <c r="E274" s="314"/>
      <c r="F274" s="334"/>
      <c r="G274" s="334"/>
      <c r="H274" s="334"/>
      <c r="I274" s="334"/>
    </row>
    <row r="275" spans="3:13" hidden="1">
      <c r="C275" s="335" t="s">
        <v>369</v>
      </c>
      <c r="D275" s="336">
        <f t="shared" si="104"/>
        <v>1</v>
      </c>
      <c r="E275" s="337">
        <f t="shared" ref="E275" si="116">+PRODUCT(F275:I275)</f>
        <v>1</v>
      </c>
      <c r="F275" s="338">
        <v>1</v>
      </c>
      <c r="G275" s="348">
        <v>1</v>
      </c>
      <c r="H275" s="338"/>
      <c r="I275" s="339"/>
    </row>
    <row r="276" spans="3:13" hidden="1">
      <c r="C276" s="346"/>
      <c r="E276" s="314"/>
      <c r="F276" s="334"/>
      <c r="G276" s="334"/>
      <c r="H276" s="334"/>
      <c r="I276" s="334"/>
    </row>
    <row r="277" spans="3:13" hidden="1">
      <c r="C277" s="335" t="s">
        <v>370</v>
      </c>
      <c r="D277" s="336">
        <f t="shared" si="104"/>
        <v>1</v>
      </c>
      <c r="E277" s="337">
        <f t="shared" ref="E277" si="117">+PRODUCT(F277:I277)</f>
        <v>1</v>
      </c>
      <c r="F277" s="338">
        <v>1</v>
      </c>
      <c r="G277" s="348">
        <v>1</v>
      </c>
      <c r="H277" s="338"/>
      <c r="I277" s="339"/>
    </row>
    <row r="278" spans="3:13" hidden="1"/>
    <row r="280" spans="3:13" s="376" customFormat="1" ht="21">
      <c r="C280" s="372" t="s">
        <v>374</v>
      </c>
      <c r="D280" s="373"/>
      <c r="E280" s="373"/>
      <c r="F280" s="373"/>
      <c r="G280" s="373"/>
      <c r="H280" s="373"/>
      <c r="I280" s="374"/>
      <c r="J280" s="375"/>
    </row>
    <row r="281" spans="3:13">
      <c r="C281" s="316"/>
      <c r="D281" s="314" t="s">
        <v>375</v>
      </c>
      <c r="E281" s="314">
        <v>0.95</v>
      </c>
      <c r="F281" s="314"/>
      <c r="G281" s="314" t="s">
        <v>330</v>
      </c>
      <c r="H281" s="314">
        <v>0.2</v>
      </c>
      <c r="M281" s="312">
        <v>1.84</v>
      </c>
    </row>
    <row r="282" spans="3:13">
      <c r="C282" s="316"/>
      <c r="D282" s="314"/>
      <c r="E282" s="314"/>
      <c r="F282" s="314"/>
      <c r="G282" s="314" t="s">
        <v>332</v>
      </c>
      <c r="H282" s="314">
        <v>0.2</v>
      </c>
      <c r="M282" s="312">
        <v>0.2</v>
      </c>
    </row>
    <row r="283" spans="3:13">
      <c r="C283" s="316"/>
      <c r="D283" s="314" t="s">
        <v>333</v>
      </c>
      <c r="E283" s="314">
        <v>2.8</v>
      </c>
      <c r="F283" s="314"/>
      <c r="G283" s="314" t="s">
        <v>334</v>
      </c>
      <c r="H283" s="314">
        <v>0.2</v>
      </c>
      <c r="M283" s="312">
        <f>+AVERAGE(M281:M282)</f>
        <v>1.02</v>
      </c>
    </row>
    <row r="284" spans="3:13">
      <c r="C284" s="316"/>
      <c r="D284" s="314" t="s">
        <v>335</v>
      </c>
      <c r="E284" s="314">
        <v>2.15</v>
      </c>
      <c r="F284" s="314"/>
      <c r="G284" s="314"/>
      <c r="H284" s="314"/>
    </row>
    <row r="285" spans="3:13">
      <c r="C285" s="316"/>
    </row>
    <row r="286" spans="3:13">
      <c r="F286" s="313" t="s">
        <v>227</v>
      </c>
      <c r="G286" s="313" t="s">
        <v>4</v>
      </c>
      <c r="H286" s="313" t="s">
        <v>226</v>
      </c>
      <c r="I286" s="313" t="s">
        <v>2</v>
      </c>
    </row>
    <row r="287" spans="3:13">
      <c r="C287" s="317" t="s">
        <v>337</v>
      </c>
      <c r="D287" s="318">
        <f>+E287</f>
        <v>2.8352873698647882</v>
      </c>
      <c r="E287" s="319">
        <f>F287*PI()*G287^2</f>
        <v>2.8352873698647882</v>
      </c>
      <c r="F287" s="320">
        <v>1</v>
      </c>
      <c r="G287" s="320">
        <f>+E281</f>
        <v>0.95</v>
      </c>
      <c r="H287" s="320">
        <f>+E282</f>
        <v>0</v>
      </c>
      <c r="I287" s="321"/>
    </row>
    <row r="288" spans="3:13">
      <c r="C288" s="322" t="s">
        <v>338</v>
      </c>
      <c r="D288" s="323">
        <f t="shared" ref="D288" si="118">+E288</f>
        <v>2.8352873698647882</v>
      </c>
      <c r="E288" s="324">
        <f>F288*PI()*G288^2</f>
        <v>2.8352873698647882</v>
      </c>
      <c r="F288" s="325">
        <f t="shared" ref="F288:H289" si="119">+F287</f>
        <v>1</v>
      </c>
      <c r="G288" s="325">
        <f t="shared" si="119"/>
        <v>0.95</v>
      </c>
      <c r="H288" s="325">
        <f t="shared" si="119"/>
        <v>0</v>
      </c>
      <c r="I288" s="326"/>
    </row>
    <row r="289" spans="3:17">
      <c r="C289" s="322" t="s">
        <v>339</v>
      </c>
      <c r="D289" s="323">
        <f>SUM(E289:E291)</f>
        <v>18.494555951683111</v>
      </c>
      <c r="E289" s="324">
        <f>I289*F289*PI()*G289^2</f>
        <v>7.9388046356214073</v>
      </c>
      <c r="F289" s="325">
        <f t="shared" si="119"/>
        <v>1</v>
      </c>
      <c r="G289" s="325">
        <f t="shared" si="119"/>
        <v>0.95</v>
      </c>
      <c r="H289" s="325">
        <f t="shared" si="119"/>
        <v>0</v>
      </c>
      <c r="I289" s="326">
        <f>+E283</f>
        <v>2.8</v>
      </c>
    </row>
    <row r="290" spans="3:17">
      <c r="C290" s="327" t="s">
        <v>340</v>
      </c>
      <c r="D290" s="324"/>
      <c r="E290" s="324">
        <f>I290*F290*PI()*(G290^2-E281^2)</f>
        <v>10.555751316061706</v>
      </c>
      <c r="F290" s="325">
        <v>1</v>
      </c>
      <c r="G290" s="325">
        <f>+G289+0.5</f>
        <v>1.45</v>
      </c>
      <c r="H290" s="325">
        <v>0.5</v>
      </c>
      <c r="I290" s="326">
        <f>+I289</f>
        <v>2.8</v>
      </c>
    </row>
    <row r="291" spans="3:17">
      <c r="C291" s="327"/>
      <c r="D291" s="324"/>
      <c r="E291" s="324">
        <f>I291*F291*PI()*G291^2</f>
        <v>0</v>
      </c>
      <c r="F291" s="325">
        <v>0</v>
      </c>
      <c r="G291" s="325">
        <v>1.55</v>
      </c>
      <c r="H291" s="325"/>
      <c r="I291" s="326">
        <f>+I290</f>
        <v>2.8</v>
      </c>
    </row>
    <row r="292" spans="3:17">
      <c r="C292" s="322" t="s">
        <v>341</v>
      </c>
      <c r="D292" s="323">
        <f>+E292</f>
        <v>2.8352873698647882</v>
      </c>
      <c r="E292" s="324">
        <f>F292*PI()*G292^2</f>
        <v>2.8352873698647882</v>
      </c>
      <c r="F292" s="325">
        <f>+F289</f>
        <v>1</v>
      </c>
      <c r="G292" s="325">
        <f>+G289</f>
        <v>0.95</v>
      </c>
      <c r="H292" s="325">
        <f>+H289</f>
        <v>0</v>
      </c>
      <c r="I292" s="326"/>
    </row>
    <row r="293" spans="3:17">
      <c r="C293" s="322" t="s">
        <v>342</v>
      </c>
      <c r="D293" s="323">
        <f t="shared" ref="D293:D331" si="120">+E293</f>
        <v>10.555751316061706</v>
      </c>
      <c r="E293" s="324">
        <f t="shared" ref="E293:E294" si="121">+PRODUCT(F293:I293)</f>
        <v>10.555751316061706</v>
      </c>
      <c r="F293" s="325">
        <f>+E290</f>
        <v>10.555751316061706</v>
      </c>
      <c r="G293" s="325"/>
      <c r="H293" s="325"/>
      <c r="I293" s="326"/>
    </row>
    <row r="294" spans="3:17">
      <c r="C294" s="328" t="s">
        <v>343</v>
      </c>
      <c r="D294" s="329">
        <f t="shared" si="120"/>
        <v>7.9388046356214055</v>
      </c>
      <c r="E294" s="330">
        <f t="shared" si="121"/>
        <v>7.9388046356214055</v>
      </c>
      <c r="F294" s="331">
        <f>+D289-D293</f>
        <v>7.9388046356214055</v>
      </c>
      <c r="G294" s="331"/>
      <c r="H294" s="331"/>
      <c r="I294" s="332"/>
      <c r="M294" s="312" t="s">
        <v>376</v>
      </c>
      <c r="N294" s="312">
        <f>+E281*2*PI()</f>
        <v>5.9690260418206069</v>
      </c>
    </row>
    <row r="295" spans="3:17">
      <c r="C295" s="333"/>
      <c r="D295" s="310"/>
      <c r="E295" s="314"/>
      <c r="F295" s="334"/>
      <c r="G295" s="334"/>
      <c r="H295" s="334"/>
      <c r="I295" s="334"/>
    </row>
    <row r="296" spans="3:17">
      <c r="C296" s="335" t="s">
        <v>344</v>
      </c>
      <c r="D296" s="336">
        <f t="shared" si="120"/>
        <v>0</v>
      </c>
      <c r="E296" s="337">
        <f t="shared" ref="E296" si="122">+PRODUCT(F296:I296)</f>
        <v>0</v>
      </c>
      <c r="F296" s="338">
        <v>0</v>
      </c>
      <c r="G296" s="338">
        <v>0.3</v>
      </c>
      <c r="H296" s="338">
        <v>0.3</v>
      </c>
      <c r="I296" s="339">
        <v>0.7</v>
      </c>
    </row>
    <row r="297" spans="3:17">
      <c r="C297" s="333"/>
      <c r="D297" s="310"/>
      <c r="E297" s="314"/>
      <c r="F297" s="334"/>
      <c r="G297" s="334"/>
      <c r="H297" s="334"/>
      <c r="I297" s="334"/>
    </row>
    <row r="298" spans="3:17">
      <c r="C298" s="335" t="s">
        <v>345</v>
      </c>
      <c r="D298" s="336">
        <f t="shared" si="120"/>
        <v>0.28352873698647885</v>
      </c>
      <c r="E298" s="319">
        <f>F298*PI()*G298^2*I298</f>
        <v>0.28352873698647885</v>
      </c>
      <c r="F298" s="338">
        <f>+F287</f>
        <v>1</v>
      </c>
      <c r="G298" s="338">
        <f>+G287</f>
        <v>0.95</v>
      </c>
      <c r="H298" s="338">
        <f>+H287</f>
        <v>0</v>
      </c>
      <c r="I298" s="339">
        <v>0.1</v>
      </c>
    </row>
    <row r="299" spans="3:17">
      <c r="C299" s="333"/>
      <c r="D299" s="340"/>
      <c r="F299" s="334"/>
      <c r="G299" s="334"/>
      <c r="H299" s="334"/>
      <c r="I299" s="334"/>
      <c r="K299" s="311" t="s">
        <v>346</v>
      </c>
      <c r="L299" s="309" t="s">
        <v>336</v>
      </c>
      <c r="M299" s="312" t="s">
        <v>347</v>
      </c>
      <c r="N299" s="309" t="s">
        <v>227</v>
      </c>
      <c r="O299" s="309" t="s">
        <v>348</v>
      </c>
      <c r="P299" s="309" t="s">
        <v>349</v>
      </c>
      <c r="Q299" s="309" t="s">
        <v>350</v>
      </c>
    </row>
    <row r="300" spans="3:17">
      <c r="C300" s="317" t="s">
        <v>351</v>
      </c>
      <c r="D300" s="341">
        <f t="shared" si="120"/>
        <v>9.9839999999999998E-2</v>
      </c>
      <c r="E300" s="319">
        <f t="shared" ref="E300:E302" si="123">+PRODUCT(F300:I300)</f>
        <v>9.9839999999999998E-2</v>
      </c>
      <c r="F300" s="320">
        <v>1</v>
      </c>
      <c r="G300" s="342">
        <v>0.52</v>
      </c>
      <c r="H300" s="320">
        <v>0.4</v>
      </c>
      <c r="I300" s="321">
        <v>0.48</v>
      </c>
      <c r="K300" s="312" t="s">
        <v>352</v>
      </c>
      <c r="L300" s="312">
        <f>+G300+0.3*2-0.08</f>
        <v>1.04</v>
      </c>
      <c r="M300" s="351">
        <v>2.4</v>
      </c>
      <c r="N300" s="312">
        <f>ROUND((G300-0.08)/0.15+1,0)</f>
        <v>4</v>
      </c>
      <c r="O300" s="343">
        <v>0.375</v>
      </c>
      <c r="P300" s="312">
        <v>0.56000000000000005</v>
      </c>
      <c r="Q300" s="313">
        <f>+L300*M300*N300*P300</f>
        <v>5.5910400000000005</v>
      </c>
    </row>
    <row r="301" spans="3:17">
      <c r="C301" s="322" t="s">
        <v>353</v>
      </c>
      <c r="D301" s="344">
        <f t="shared" si="120"/>
        <v>1.0752000000000002</v>
      </c>
      <c r="E301" s="324">
        <f t="shared" si="123"/>
        <v>1.0752000000000002</v>
      </c>
      <c r="F301" s="325">
        <v>1</v>
      </c>
      <c r="G301" s="325">
        <f>0.37*2+0.4+0.15*2+0.4*2</f>
        <v>2.2400000000000002</v>
      </c>
      <c r="H301" s="325"/>
      <c r="I301" s="326">
        <v>0.48</v>
      </c>
    </row>
    <row r="302" spans="3:17">
      <c r="C302" s="328" t="s">
        <v>354</v>
      </c>
      <c r="D302" s="345">
        <f t="shared" si="120"/>
        <v>5.5910400000000005</v>
      </c>
      <c r="E302" s="330">
        <f t="shared" si="123"/>
        <v>5.5910400000000005</v>
      </c>
      <c r="F302" s="331">
        <f>+Q300</f>
        <v>5.5910400000000005</v>
      </c>
      <c r="G302" s="331"/>
      <c r="H302" s="331"/>
      <c r="I302" s="332"/>
    </row>
    <row r="303" spans="3:17">
      <c r="C303" s="333"/>
      <c r="D303" s="310"/>
      <c r="E303" s="314"/>
      <c r="F303" s="334"/>
      <c r="G303" s="334"/>
      <c r="H303" s="334"/>
      <c r="I303" s="334"/>
      <c r="K303" s="311" t="s">
        <v>355</v>
      </c>
      <c r="L303" s="309" t="s">
        <v>336</v>
      </c>
      <c r="M303" s="312" t="s">
        <v>347</v>
      </c>
      <c r="N303" s="309" t="s">
        <v>227</v>
      </c>
      <c r="O303" s="309" t="s">
        <v>348</v>
      </c>
      <c r="P303" s="309" t="s">
        <v>349</v>
      </c>
      <c r="Q303" s="309" t="s">
        <v>350</v>
      </c>
    </row>
    <row r="304" spans="3:17">
      <c r="C304" s="317" t="s">
        <v>356</v>
      </c>
      <c r="D304" s="341">
        <f t="shared" si="120"/>
        <v>0.56705747397295769</v>
      </c>
      <c r="E304" s="319">
        <f>I304*F304*PI()*G304^2</f>
        <v>0.56705747397295769</v>
      </c>
      <c r="F304" s="320">
        <v>1</v>
      </c>
      <c r="G304" s="320">
        <f>+E281</f>
        <v>0.95</v>
      </c>
      <c r="H304" s="320">
        <f>+E282</f>
        <v>0</v>
      </c>
      <c r="I304" s="321">
        <f>+H281</f>
        <v>0.2</v>
      </c>
      <c r="K304" s="312" t="s">
        <v>352</v>
      </c>
      <c r="L304" s="312">
        <f>+E281+0.3*2-0.08</f>
        <v>1.4699999999999998</v>
      </c>
      <c r="M304" s="312">
        <v>0</v>
      </c>
      <c r="N304" s="312">
        <f>ROUND((E282-0.08)/0.25+1,0)</f>
        <v>1</v>
      </c>
      <c r="O304" s="343">
        <v>0.375</v>
      </c>
      <c r="P304" s="312">
        <v>0.56000000000000005</v>
      </c>
      <c r="Q304" s="313">
        <f>+L304*M304*N304*P304</f>
        <v>0</v>
      </c>
    </row>
    <row r="305" spans="3:25">
      <c r="C305" s="322" t="s">
        <v>353</v>
      </c>
      <c r="D305" s="344">
        <f t="shared" si="120"/>
        <v>0</v>
      </c>
      <c r="E305" s="324">
        <f t="shared" ref="E305:E306" si="124">+PRODUCT(F305:I305)</f>
        <v>0</v>
      </c>
      <c r="F305" s="325">
        <v>0</v>
      </c>
      <c r="G305" s="325">
        <f>+G304*2+H304*2</f>
        <v>1.9</v>
      </c>
      <c r="H305" s="325"/>
      <c r="I305" s="326">
        <f>+I304</f>
        <v>0.2</v>
      </c>
      <c r="K305" s="312" t="s">
        <v>357</v>
      </c>
      <c r="L305" s="312">
        <f>+E282+0.3*2-0.08</f>
        <v>0.52</v>
      </c>
      <c r="M305" s="312">
        <v>0</v>
      </c>
      <c r="N305" s="312">
        <f>ROUND((E281-0.08)/0.25+1,0)</f>
        <v>4</v>
      </c>
      <c r="O305" s="343">
        <v>0.375</v>
      </c>
      <c r="P305" s="312">
        <v>0.56000000000000005</v>
      </c>
      <c r="Q305" s="313">
        <f>+L305*M305*N305*P305</f>
        <v>0</v>
      </c>
    </row>
    <row r="306" spans="3:25">
      <c r="C306" s="328" t="s">
        <v>354</v>
      </c>
      <c r="D306" s="345">
        <f t="shared" si="120"/>
        <v>0</v>
      </c>
      <c r="E306" s="330">
        <f t="shared" si="124"/>
        <v>0</v>
      </c>
      <c r="F306" s="331">
        <f>+Q306</f>
        <v>0</v>
      </c>
      <c r="G306" s="331"/>
      <c r="H306" s="331"/>
      <c r="I306" s="332"/>
      <c r="Q306" s="310">
        <f>SUM(Q304:Q305)</f>
        <v>0</v>
      </c>
    </row>
    <row r="307" spans="3:25">
      <c r="C307" s="333"/>
      <c r="D307" s="310"/>
      <c r="E307" s="314"/>
      <c r="F307" s="334"/>
      <c r="G307" s="334"/>
      <c r="H307" s="334"/>
      <c r="I307" s="334"/>
    </row>
    <row r="308" spans="3:25">
      <c r="C308" s="317" t="s">
        <v>358</v>
      </c>
      <c r="D308" s="341">
        <f t="shared" si="120"/>
        <v>2.2965042297741385</v>
      </c>
      <c r="E308" s="319">
        <f>+F308*2*PI()*G308*H308*I308</f>
        <v>2.2965042297741385</v>
      </c>
      <c r="F308" s="320">
        <v>1</v>
      </c>
      <c r="G308" s="320">
        <f>+AVERAGE(E281,(E281-H282))</f>
        <v>0.85</v>
      </c>
      <c r="H308" s="320">
        <f>+H282</f>
        <v>0.2</v>
      </c>
      <c r="I308" s="321">
        <f>+E284</f>
        <v>2.15</v>
      </c>
      <c r="K308" s="311" t="s">
        <v>359</v>
      </c>
      <c r="L308" s="309" t="s">
        <v>336</v>
      </c>
      <c r="M308" s="312" t="s">
        <v>360</v>
      </c>
      <c r="N308" s="309" t="s">
        <v>227</v>
      </c>
      <c r="O308" s="309" t="s">
        <v>348</v>
      </c>
      <c r="P308" s="309" t="s">
        <v>349</v>
      </c>
      <c r="Q308" s="309" t="s">
        <v>350</v>
      </c>
      <c r="S308" s="311"/>
      <c r="T308" s="309"/>
      <c r="V308" s="309"/>
      <c r="W308" s="309"/>
      <c r="X308" s="309"/>
      <c r="Y308" s="309"/>
    </row>
    <row r="309" spans="3:25">
      <c r="C309" s="322" t="s">
        <v>353</v>
      </c>
      <c r="D309" s="344">
        <f>+E309+E310</f>
        <v>11.482521148870694</v>
      </c>
      <c r="E309" s="324">
        <f>+F309*2*PI()*G309*I309</f>
        <v>11.482521148870694</v>
      </c>
      <c r="F309" s="325">
        <v>1</v>
      </c>
      <c r="G309" s="325">
        <f>+G308</f>
        <v>0.85</v>
      </c>
      <c r="H309" s="325"/>
      <c r="I309" s="326">
        <f>+I308</f>
        <v>2.15</v>
      </c>
      <c r="K309" s="312" t="s">
        <v>362</v>
      </c>
      <c r="L309" s="313">
        <f>+N294</f>
        <v>5.9690260418206069</v>
      </c>
      <c r="M309" s="312">
        <v>1</v>
      </c>
      <c r="N309" s="312">
        <f>ROUND((E284-0.08)/0.25+1,0)</f>
        <v>9</v>
      </c>
      <c r="O309" s="343">
        <v>0.375</v>
      </c>
      <c r="P309" s="312">
        <v>0.56000000000000005</v>
      </c>
      <c r="Q309" s="313">
        <f t="shared" ref="Q309:Q310" si="125">+L309*M309*N309*P309</f>
        <v>30.08389125077586</v>
      </c>
      <c r="W309" s="343"/>
      <c r="Y309" s="313"/>
    </row>
    <row r="310" spans="3:25">
      <c r="C310" s="322"/>
      <c r="D310" s="344"/>
      <c r="E310" s="324">
        <f t="shared" ref="E310:E311" si="126">+PRODUCT(F310:I310)</f>
        <v>0</v>
      </c>
      <c r="F310" s="325">
        <v>0</v>
      </c>
      <c r="G310" s="325">
        <f>+(E281-2*H282)*2+(E282-2*H282)*2</f>
        <v>0.29999999999999982</v>
      </c>
      <c r="H310" s="325"/>
      <c r="I310" s="326">
        <f>+I309</f>
        <v>2.15</v>
      </c>
      <c r="K310" s="312" t="s">
        <v>363</v>
      </c>
      <c r="L310" s="313">
        <f>+E284+H283+H281+0.6-0.08</f>
        <v>3.0700000000000003</v>
      </c>
      <c r="M310" s="312">
        <v>1</v>
      </c>
      <c r="N310" s="312">
        <f>ROUND((N294-0.08)/0.25+1,0)</f>
        <v>25</v>
      </c>
      <c r="O310" s="343">
        <v>0.375</v>
      </c>
      <c r="P310" s="312">
        <v>0.56000000000000005</v>
      </c>
      <c r="Q310" s="313">
        <f t="shared" si="125"/>
        <v>42.980000000000004</v>
      </c>
      <c r="W310" s="343"/>
      <c r="Y310" s="313"/>
    </row>
    <row r="311" spans="3:25">
      <c r="C311" s="328" t="s">
        <v>354</v>
      </c>
      <c r="D311" s="345">
        <f t="shared" si="120"/>
        <v>73.063891250775868</v>
      </c>
      <c r="E311" s="330">
        <f t="shared" si="126"/>
        <v>73.063891250775868</v>
      </c>
      <c r="F311" s="331">
        <f>+Q311+Y311</f>
        <v>73.063891250775868</v>
      </c>
      <c r="G311" s="331"/>
      <c r="H311" s="331"/>
      <c r="I311" s="332"/>
      <c r="Q311" s="310">
        <f>SUM(Q309:Q310)</f>
        <v>73.063891250775868</v>
      </c>
      <c r="Y311" s="310"/>
    </row>
    <row r="312" spans="3:25">
      <c r="C312" s="346"/>
      <c r="E312" s="314"/>
      <c r="F312" s="334"/>
      <c r="G312" s="334"/>
      <c r="H312" s="334"/>
      <c r="I312" s="334"/>
    </row>
    <row r="313" spans="3:25">
      <c r="C313" s="317" t="s">
        <v>364</v>
      </c>
      <c r="D313" s="341">
        <f>+E313+E314</f>
        <v>0.19006635554218249</v>
      </c>
      <c r="E313" s="319">
        <f>+E304</f>
        <v>0.56705747397295769</v>
      </c>
      <c r="F313" s="320">
        <v>0</v>
      </c>
      <c r="G313" s="320">
        <f>+G304</f>
        <v>0.95</v>
      </c>
      <c r="H313" s="320"/>
      <c r="I313" s="321">
        <f>+H283</f>
        <v>0.2</v>
      </c>
      <c r="K313" s="311" t="s">
        <v>365</v>
      </c>
      <c r="L313" s="309" t="s">
        <v>377</v>
      </c>
      <c r="M313" s="312" t="s">
        <v>347</v>
      </c>
      <c r="N313" s="309" t="s">
        <v>227</v>
      </c>
      <c r="O313" s="309" t="s">
        <v>348</v>
      </c>
      <c r="P313" s="309" t="s">
        <v>349</v>
      </c>
      <c r="Q313" s="309" t="s">
        <v>350</v>
      </c>
    </row>
    <row r="314" spans="3:25">
      <c r="C314" s="322"/>
      <c r="D314" s="344"/>
      <c r="E314" s="324">
        <f t="shared" ref="E314:E319" si="127">+PRODUCT(F314:I314)</f>
        <v>-0.37699111843077521</v>
      </c>
      <c r="F314" s="325">
        <v>-1</v>
      </c>
      <c r="G314" s="349">
        <f>2*PI()*0.3</f>
        <v>1.8849555921538759</v>
      </c>
      <c r="H314" s="349"/>
      <c r="I314" s="326">
        <f>+I313</f>
        <v>0.2</v>
      </c>
      <c r="K314" s="312" t="s">
        <v>352</v>
      </c>
      <c r="L314" s="350">
        <v>1.05</v>
      </c>
      <c r="M314" s="312">
        <v>1</v>
      </c>
      <c r="N314" s="312">
        <v>13</v>
      </c>
      <c r="O314" s="343">
        <v>0.375</v>
      </c>
      <c r="P314" s="312">
        <v>0.56000000000000005</v>
      </c>
      <c r="Q314" s="313">
        <f>+L314*M314*N314*P314*1.075</f>
        <v>8.2173000000000016</v>
      </c>
    </row>
    <row r="315" spans="3:25">
      <c r="C315" s="322" t="s">
        <v>353</v>
      </c>
      <c r="D315" s="344">
        <f>SUM(E315:E318)</f>
        <v>1.4844025288211773</v>
      </c>
      <c r="E315" s="324">
        <f>+F315*PI()*G315^2</f>
        <v>1.7671458676442586</v>
      </c>
      <c r="F315" s="325">
        <v>1</v>
      </c>
      <c r="G315" s="325">
        <f>+G313-H282</f>
        <v>0.75</v>
      </c>
      <c r="H315" s="325"/>
      <c r="I315" s="326"/>
      <c r="K315" s="312" t="s">
        <v>357</v>
      </c>
      <c r="L315" s="312">
        <v>1.05</v>
      </c>
      <c r="M315" s="312">
        <v>1</v>
      </c>
      <c r="N315" s="312">
        <v>13</v>
      </c>
      <c r="O315" s="343">
        <v>0.375</v>
      </c>
      <c r="P315" s="312">
        <v>0.56000000000000005</v>
      </c>
      <c r="Q315" s="313">
        <f>+L315*M315*N315*P315*1.075</f>
        <v>8.2173000000000016</v>
      </c>
    </row>
    <row r="316" spans="3:25">
      <c r="C316" s="322"/>
      <c r="D316" s="344"/>
      <c r="E316" s="324">
        <f>+F316*PI()*G316^2</f>
        <v>-0.28274333882308139</v>
      </c>
      <c r="F316" s="325">
        <v>-1</v>
      </c>
      <c r="G316" s="325">
        <v>0.3</v>
      </c>
      <c r="H316" s="325"/>
      <c r="I316" s="326"/>
      <c r="L316" s="312">
        <f>+L315</f>
        <v>1.05</v>
      </c>
      <c r="M316" s="312">
        <v>1</v>
      </c>
      <c r="N316" s="312">
        <v>2</v>
      </c>
      <c r="O316" s="343">
        <v>0.5</v>
      </c>
      <c r="P316" s="312">
        <v>0.99</v>
      </c>
      <c r="Q316" s="313">
        <f>+L316*M316*N316*P316*1.075</f>
        <v>2.2349250000000001</v>
      </c>
    </row>
    <row r="317" spans="3:25">
      <c r="C317" s="322"/>
      <c r="D317" s="344"/>
      <c r="E317" s="324">
        <f t="shared" si="127"/>
        <v>0</v>
      </c>
      <c r="F317" s="325">
        <v>1</v>
      </c>
      <c r="G317" s="325">
        <f>+G314*2</f>
        <v>3.7699111843077517</v>
      </c>
      <c r="H317" s="325">
        <f>+H314*2</f>
        <v>0</v>
      </c>
      <c r="I317" s="347">
        <v>0.35</v>
      </c>
      <c r="Q317" s="310">
        <f>SUM(Q314:Q316)</f>
        <v>18.669525000000004</v>
      </c>
    </row>
    <row r="318" spans="3:25">
      <c r="C318" s="322"/>
      <c r="D318" s="344"/>
      <c r="E318" s="324">
        <f t="shared" si="127"/>
        <v>0</v>
      </c>
      <c r="F318" s="325">
        <v>1</v>
      </c>
      <c r="G318" s="325">
        <f>+G317</f>
        <v>3.7699111843077517</v>
      </c>
      <c r="H318" s="325">
        <f>+H317</f>
        <v>0</v>
      </c>
      <c r="I318" s="347">
        <v>0.15</v>
      </c>
    </row>
    <row r="319" spans="3:25">
      <c r="C319" s="328" t="s">
        <v>354</v>
      </c>
      <c r="D319" s="345">
        <f t="shared" si="120"/>
        <v>18.669525000000004</v>
      </c>
      <c r="E319" s="330">
        <f t="shared" si="127"/>
        <v>18.669525000000004</v>
      </c>
      <c r="F319" s="331">
        <f>+Q317</f>
        <v>18.669525000000004</v>
      </c>
      <c r="G319" s="331"/>
      <c r="H319" s="331"/>
      <c r="I319" s="332"/>
    </row>
    <row r="320" spans="3:25">
      <c r="C320" s="346"/>
      <c r="E320" s="314"/>
      <c r="F320" s="334"/>
      <c r="G320" s="334"/>
      <c r="H320" s="334"/>
      <c r="I320" s="334"/>
    </row>
    <row r="321" spans="3:25">
      <c r="C321" s="317" t="s">
        <v>366</v>
      </c>
      <c r="D321" s="341">
        <f>+SUM(E321:E323)</f>
        <v>13.383184704292518</v>
      </c>
      <c r="E321" s="319">
        <f>+F321*2*PI()*G321*I321</f>
        <v>10.131636307827083</v>
      </c>
      <c r="F321" s="320">
        <v>1</v>
      </c>
      <c r="G321" s="320">
        <f>+G315</f>
        <v>0.75</v>
      </c>
      <c r="H321" s="320"/>
      <c r="I321" s="321">
        <f>+I308</f>
        <v>2.15</v>
      </c>
    </row>
    <row r="322" spans="3:25">
      <c r="C322" s="322"/>
      <c r="D322" s="344"/>
      <c r="E322" s="324">
        <f>+PI()*F322*G322^2</f>
        <v>1.7671458676442586</v>
      </c>
      <c r="F322" s="325">
        <v>1</v>
      </c>
      <c r="G322" s="325">
        <f>+G321</f>
        <v>0.75</v>
      </c>
      <c r="H322" s="325"/>
      <c r="I322" s="326"/>
    </row>
    <row r="323" spans="3:25">
      <c r="C323" s="328"/>
      <c r="D323" s="345"/>
      <c r="E323" s="330">
        <f t="shared" ref="E323" si="128">+PRODUCT(F323:I323)</f>
        <v>1.4844025288211773</v>
      </c>
      <c r="F323" s="331">
        <v>1</v>
      </c>
      <c r="G323" s="331">
        <f>+E315+E316</f>
        <v>1.4844025288211773</v>
      </c>
      <c r="H323" s="331"/>
      <c r="I323" s="332"/>
    </row>
    <row r="324" spans="3:25">
      <c r="C324" s="346"/>
      <c r="E324" s="314"/>
      <c r="F324" s="334"/>
      <c r="G324" s="334"/>
      <c r="H324" s="334"/>
      <c r="I324" s="334"/>
    </row>
    <row r="325" spans="3:25">
      <c r="C325" s="335" t="s">
        <v>367</v>
      </c>
      <c r="D325" s="336">
        <f t="shared" si="120"/>
        <v>4.7123889803846897</v>
      </c>
      <c r="E325" s="337">
        <f>+F325*2*PI()*G325</f>
        <v>4.7123889803846897</v>
      </c>
      <c r="F325" s="338">
        <v>1</v>
      </c>
      <c r="G325" s="338">
        <f>+G321</f>
        <v>0.75</v>
      </c>
      <c r="H325" s="338"/>
      <c r="I325" s="339"/>
    </row>
    <row r="326" spans="3:25">
      <c r="C326" s="346"/>
      <c r="E326" s="314"/>
      <c r="F326" s="334"/>
      <c r="G326" s="334"/>
      <c r="H326" s="334"/>
      <c r="I326" s="334"/>
    </row>
    <row r="327" spans="3:25">
      <c r="C327" s="335" t="s">
        <v>368</v>
      </c>
      <c r="D327" s="336">
        <f t="shared" si="120"/>
        <v>2.15</v>
      </c>
      <c r="E327" s="337">
        <f t="shared" ref="E327" si="129">+PRODUCT(F327:I327)</f>
        <v>2.15</v>
      </c>
      <c r="F327" s="338">
        <v>1</v>
      </c>
      <c r="G327" s="338">
        <f>+E284</f>
        <v>2.15</v>
      </c>
      <c r="H327" s="338"/>
      <c r="I327" s="339"/>
    </row>
    <row r="328" spans="3:25">
      <c r="C328" s="346"/>
      <c r="E328" s="314"/>
      <c r="F328" s="334"/>
      <c r="G328" s="334"/>
      <c r="H328" s="334"/>
      <c r="I328" s="334"/>
    </row>
    <row r="329" spans="3:25" s="313" customFormat="1">
      <c r="C329" s="335" t="s">
        <v>369</v>
      </c>
      <c r="D329" s="336">
        <f t="shared" si="120"/>
        <v>1</v>
      </c>
      <c r="E329" s="337">
        <f t="shared" ref="E329" si="130">+PRODUCT(F329:I329)</f>
        <v>1</v>
      </c>
      <c r="F329" s="338">
        <v>1</v>
      </c>
      <c r="G329" s="348">
        <v>1</v>
      </c>
      <c r="H329" s="338"/>
      <c r="I329" s="339"/>
      <c r="K329" s="312"/>
      <c r="L329" s="312"/>
      <c r="M329" s="312"/>
      <c r="N329" s="312"/>
      <c r="O329" s="312"/>
      <c r="P329" s="312"/>
      <c r="Q329" s="312"/>
      <c r="R329" s="312"/>
      <c r="S329" s="312"/>
      <c r="T329" s="312"/>
      <c r="U329" s="312"/>
      <c r="V329" s="312"/>
      <c r="W329" s="312"/>
      <c r="X329" s="312"/>
      <c r="Y329" s="312"/>
    </row>
    <row r="330" spans="3:25" s="313" customFormat="1">
      <c r="C330" s="346"/>
      <c r="E330" s="314"/>
      <c r="F330" s="334"/>
      <c r="G330" s="334"/>
      <c r="H330" s="334"/>
      <c r="I330" s="334"/>
      <c r="K330" s="312"/>
      <c r="L330" s="312"/>
      <c r="M330" s="312"/>
      <c r="N330" s="312"/>
      <c r="O330" s="312"/>
      <c r="P330" s="312"/>
      <c r="Q330" s="312"/>
      <c r="R330" s="312"/>
      <c r="S330" s="312"/>
      <c r="T330" s="312"/>
      <c r="U330" s="312"/>
      <c r="V330" s="312"/>
      <c r="W330" s="312"/>
      <c r="X330" s="312"/>
      <c r="Y330" s="312"/>
    </row>
    <row r="331" spans="3:25" s="313" customFormat="1">
      <c r="C331" s="335" t="s">
        <v>370</v>
      </c>
      <c r="D331" s="336">
        <f t="shared" si="120"/>
        <v>1</v>
      </c>
      <c r="E331" s="337">
        <f t="shared" ref="E331" si="131">+PRODUCT(F331:I331)</f>
        <v>1</v>
      </c>
      <c r="F331" s="338">
        <v>1</v>
      </c>
      <c r="G331" s="348">
        <v>1</v>
      </c>
      <c r="H331" s="338"/>
      <c r="I331" s="339"/>
      <c r="K331" s="312"/>
      <c r="L331" s="312"/>
      <c r="M331" s="312"/>
      <c r="N331" s="312"/>
      <c r="O331" s="312"/>
      <c r="P331" s="312"/>
      <c r="Q331" s="312"/>
      <c r="R331" s="312"/>
      <c r="S331" s="312"/>
      <c r="T331" s="312"/>
      <c r="U331" s="312"/>
      <c r="V331" s="312"/>
      <c r="W331" s="312"/>
      <c r="X331" s="312"/>
      <c r="Y331" s="312"/>
    </row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rowBreaks count="4" manualBreakCount="4">
    <brk id="61" min="1" max="9" man="1"/>
    <brk id="115" min="1" max="9" man="1"/>
    <brk id="169" min="1" max="9" man="1"/>
    <brk id="279" min="1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164"/>
  <sheetViews>
    <sheetView showGridLines="0" view="pageBreakPreview" zoomScale="85" zoomScaleNormal="100" zoomScaleSheetLayoutView="85" workbookViewId="0">
      <selection activeCell="N43" sqref="N43"/>
    </sheetView>
  </sheetViews>
  <sheetFormatPr baseColWidth="10" defaultColWidth="11.44140625" defaultRowHeight="12"/>
  <cols>
    <col min="1" max="1" width="11.44140625" style="312"/>
    <col min="2" max="2" width="2" style="312" customWidth="1"/>
    <col min="3" max="3" width="14.33203125" style="312" customWidth="1"/>
    <col min="4" max="8" width="14.33203125" style="313" customWidth="1"/>
    <col min="9" max="9" width="14.33203125" style="315" customWidth="1"/>
    <col min="10" max="10" width="2.33203125" style="313" customWidth="1"/>
    <col min="11" max="16384" width="11.44140625" style="312"/>
  </cols>
  <sheetData>
    <row r="2" spans="3:10" ht="12.6" thickBot="1"/>
    <row r="3" spans="3:10" ht="27" customHeight="1" thickBot="1">
      <c r="C3" s="773" t="s">
        <v>122</v>
      </c>
      <c r="D3" s="774"/>
      <c r="E3" s="774"/>
      <c r="F3" s="774"/>
      <c r="G3" s="774"/>
      <c r="H3" s="774"/>
      <c r="I3" s="775"/>
    </row>
    <row r="4" spans="3:10" ht="27" customHeight="1">
      <c r="C4" s="371" t="s">
        <v>123</v>
      </c>
      <c r="D4" s="776" t="s">
        <v>263</v>
      </c>
      <c r="E4" s="776"/>
      <c r="F4" s="776"/>
      <c r="G4" s="776"/>
      <c r="H4" s="776"/>
      <c r="I4" s="777"/>
    </row>
    <row r="5" spans="3:10" ht="27" customHeight="1">
      <c r="C5" s="13" t="s">
        <v>131</v>
      </c>
      <c r="D5" s="705" t="s">
        <v>264</v>
      </c>
      <c r="E5" s="705"/>
      <c r="F5" s="705"/>
      <c r="G5" s="705"/>
      <c r="H5" s="705"/>
      <c r="I5" s="706"/>
    </row>
    <row r="6" spans="3:10" ht="27" customHeight="1">
      <c r="C6" s="13" t="s">
        <v>125</v>
      </c>
      <c r="D6" s="705" t="s">
        <v>126</v>
      </c>
      <c r="E6" s="705"/>
      <c r="F6" s="705"/>
      <c r="G6" s="705"/>
      <c r="H6" s="705"/>
      <c r="I6" s="706"/>
    </row>
    <row r="7" spans="3:10" ht="27" customHeight="1" thickBot="1">
      <c r="C7" s="14" t="s">
        <v>127</v>
      </c>
      <c r="D7" s="778" t="s">
        <v>265</v>
      </c>
      <c r="E7" s="778"/>
      <c r="F7" s="778"/>
      <c r="G7" s="778"/>
      <c r="H7" s="778"/>
      <c r="I7" s="779"/>
    </row>
    <row r="9" spans="3:10" s="376" customFormat="1" ht="21">
      <c r="C9" s="372" t="s">
        <v>390</v>
      </c>
      <c r="D9" s="373"/>
      <c r="E9" s="373"/>
      <c r="F9" s="373"/>
      <c r="G9" s="373"/>
      <c r="H9" s="373"/>
      <c r="I9" s="374"/>
      <c r="J9" s="375"/>
    </row>
    <row r="10" spans="3:10">
      <c r="C10" s="316"/>
      <c r="D10" s="314" t="s">
        <v>329</v>
      </c>
      <c r="E10" s="314">
        <v>2.6</v>
      </c>
      <c r="F10" s="314"/>
      <c r="G10" s="314" t="s">
        <v>330</v>
      </c>
      <c r="H10" s="314">
        <v>0.2</v>
      </c>
    </row>
    <row r="11" spans="3:10">
      <c r="C11" s="316"/>
      <c r="D11" s="314" t="s">
        <v>331</v>
      </c>
      <c r="E11" s="314">
        <v>2</v>
      </c>
      <c r="F11" s="314"/>
      <c r="G11" s="314" t="s">
        <v>332</v>
      </c>
      <c r="H11" s="314">
        <v>0.2</v>
      </c>
    </row>
    <row r="12" spans="3:10">
      <c r="C12" s="316"/>
      <c r="D12" s="314" t="s">
        <v>333</v>
      </c>
      <c r="E12" s="314">
        <v>3.2</v>
      </c>
      <c r="F12" s="314"/>
      <c r="G12" s="314" t="s">
        <v>334</v>
      </c>
      <c r="H12" s="314">
        <v>0.2</v>
      </c>
    </row>
    <row r="13" spans="3:10">
      <c r="C13" s="316"/>
      <c r="D13" s="314" t="s">
        <v>335</v>
      </c>
      <c r="E13" s="314">
        <v>2.8</v>
      </c>
      <c r="F13" s="314"/>
      <c r="G13" s="314"/>
      <c r="H13" s="314"/>
    </row>
    <row r="14" spans="3:10">
      <c r="C14" s="316"/>
    </row>
    <row r="15" spans="3:10">
      <c r="F15" s="313" t="s">
        <v>227</v>
      </c>
      <c r="G15" s="313" t="s">
        <v>336</v>
      </c>
      <c r="H15" s="313" t="s">
        <v>226</v>
      </c>
      <c r="I15" s="313" t="s">
        <v>2</v>
      </c>
    </row>
    <row r="16" spans="3:10">
      <c r="C16" s="317" t="s">
        <v>337</v>
      </c>
      <c r="D16" s="318">
        <f>+E16</f>
        <v>5.2</v>
      </c>
      <c r="E16" s="319">
        <f>+PRODUCT(F16:I16)</f>
        <v>5.2</v>
      </c>
      <c r="F16" s="320">
        <v>1</v>
      </c>
      <c r="G16" s="320">
        <f>+E10</f>
        <v>2.6</v>
      </c>
      <c r="H16" s="320">
        <f>+E11</f>
        <v>2</v>
      </c>
      <c r="I16" s="321"/>
    </row>
    <row r="17" spans="3:17">
      <c r="C17" s="322" t="s">
        <v>338</v>
      </c>
      <c r="D17" s="323">
        <f t="shared" ref="D17" si="0">+E17</f>
        <v>5.2</v>
      </c>
      <c r="E17" s="324">
        <f t="shared" ref="E17:E23" si="1">+PRODUCT(F17:I17)</f>
        <v>5.2</v>
      </c>
      <c r="F17" s="325">
        <f t="shared" ref="F17:H18" si="2">+F16</f>
        <v>1</v>
      </c>
      <c r="G17" s="325">
        <f t="shared" si="2"/>
        <v>2.6</v>
      </c>
      <c r="H17" s="325">
        <f t="shared" si="2"/>
        <v>2</v>
      </c>
      <c r="I17" s="326"/>
    </row>
    <row r="18" spans="3:17">
      <c r="C18" s="322" t="s">
        <v>339</v>
      </c>
      <c r="D18" s="323">
        <f>SUM(E18:E20)</f>
        <v>36.698000000000008</v>
      </c>
      <c r="E18" s="324">
        <f t="shared" si="1"/>
        <v>16.64</v>
      </c>
      <c r="F18" s="325">
        <f t="shared" si="2"/>
        <v>1</v>
      </c>
      <c r="G18" s="325">
        <f t="shared" si="2"/>
        <v>2.6</v>
      </c>
      <c r="H18" s="325">
        <f t="shared" si="2"/>
        <v>2</v>
      </c>
      <c r="I18" s="326">
        <f>+E12</f>
        <v>3.2</v>
      </c>
    </row>
    <row r="19" spans="3:17">
      <c r="C19" s="327" t="s">
        <v>340</v>
      </c>
      <c r="D19" s="324"/>
      <c r="E19" s="324">
        <f t="shared" si="1"/>
        <v>19.968000000000004</v>
      </c>
      <c r="F19" s="325">
        <v>1</v>
      </c>
      <c r="G19" s="325">
        <f>+(G18*2+1.2)+H18*2</f>
        <v>10.4</v>
      </c>
      <c r="H19" s="325">
        <v>0.6</v>
      </c>
      <c r="I19" s="326">
        <f>+I18</f>
        <v>3.2</v>
      </c>
    </row>
    <row r="20" spans="3:17">
      <c r="C20" s="327"/>
      <c r="D20" s="324"/>
      <c r="E20" s="324">
        <f t="shared" si="1"/>
        <v>0.09</v>
      </c>
      <c r="F20" s="325">
        <v>1</v>
      </c>
      <c r="G20" s="325">
        <v>0.3</v>
      </c>
      <c r="H20" s="325">
        <v>0.3</v>
      </c>
      <c r="I20" s="326">
        <v>1</v>
      </c>
    </row>
    <row r="21" spans="3:17">
      <c r="C21" s="322" t="s">
        <v>341</v>
      </c>
      <c r="D21" s="323">
        <f>+E21</f>
        <v>5.2</v>
      </c>
      <c r="E21" s="324">
        <f t="shared" si="1"/>
        <v>5.2</v>
      </c>
      <c r="F21" s="325">
        <f>+F18</f>
        <v>1</v>
      </c>
      <c r="G21" s="325">
        <f>+G18</f>
        <v>2.6</v>
      </c>
      <c r="H21" s="325">
        <f>+H18</f>
        <v>2</v>
      </c>
      <c r="I21" s="326"/>
    </row>
    <row r="22" spans="3:17">
      <c r="C22" s="322" t="s">
        <v>342</v>
      </c>
      <c r="D22" s="323">
        <f t="shared" ref="D22:D58" si="3">+E22</f>
        <v>19.968000000000004</v>
      </c>
      <c r="E22" s="324">
        <f t="shared" si="1"/>
        <v>19.968000000000004</v>
      </c>
      <c r="F22" s="325">
        <f>+E19</f>
        <v>19.968000000000004</v>
      </c>
      <c r="G22" s="325"/>
      <c r="H22" s="325"/>
      <c r="I22" s="326"/>
    </row>
    <row r="23" spans="3:17">
      <c r="C23" s="328" t="s">
        <v>343</v>
      </c>
      <c r="D23" s="329">
        <f t="shared" si="3"/>
        <v>16.730000000000004</v>
      </c>
      <c r="E23" s="330">
        <f t="shared" si="1"/>
        <v>16.730000000000004</v>
      </c>
      <c r="F23" s="331">
        <f>+D18-D22</f>
        <v>16.730000000000004</v>
      </c>
      <c r="G23" s="331"/>
      <c r="H23" s="331"/>
      <c r="I23" s="332"/>
    </row>
    <row r="24" spans="3:17">
      <c r="C24" s="333"/>
      <c r="D24" s="310"/>
      <c r="E24" s="314"/>
      <c r="F24" s="334"/>
      <c r="G24" s="334"/>
      <c r="H24" s="334"/>
      <c r="I24" s="334"/>
    </row>
    <row r="25" spans="3:17">
      <c r="C25" s="335" t="s">
        <v>344</v>
      </c>
      <c r="D25" s="336">
        <f t="shared" si="3"/>
        <v>6.3E-2</v>
      </c>
      <c r="E25" s="337">
        <f t="shared" ref="E25" si="4">+PRODUCT(F25:I25)</f>
        <v>6.3E-2</v>
      </c>
      <c r="F25" s="338">
        <v>1</v>
      </c>
      <c r="G25" s="338">
        <v>0.3</v>
      </c>
      <c r="H25" s="338">
        <v>0.3</v>
      </c>
      <c r="I25" s="339">
        <v>0.7</v>
      </c>
    </row>
    <row r="26" spans="3:17">
      <c r="C26" s="333"/>
      <c r="D26" s="310"/>
      <c r="E26" s="314"/>
      <c r="F26" s="334"/>
      <c r="G26" s="334"/>
      <c r="H26" s="334"/>
      <c r="I26" s="334"/>
    </row>
    <row r="27" spans="3:17">
      <c r="C27" s="335" t="s">
        <v>345</v>
      </c>
      <c r="D27" s="336">
        <f t="shared" si="3"/>
        <v>0.52</v>
      </c>
      <c r="E27" s="337">
        <f t="shared" ref="E27" si="5">+PRODUCT(F27:I27)</f>
        <v>0.52</v>
      </c>
      <c r="F27" s="338">
        <f>+F16</f>
        <v>1</v>
      </c>
      <c r="G27" s="338">
        <f>+G16</f>
        <v>2.6</v>
      </c>
      <c r="H27" s="338">
        <f>+H16</f>
        <v>2</v>
      </c>
      <c r="I27" s="339">
        <v>0.1</v>
      </c>
    </row>
    <row r="28" spans="3:17">
      <c r="C28" s="333"/>
      <c r="D28" s="340"/>
      <c r="F28" s="334"/>
      <c r="G28" s="334"/>
      <c r="H28" s="334"/>
      <c r="I28" s="334"/>
      <c r="K28" s="311" t="s">
        <v>346</v>
      </c>
      <c r="L28" s="309" t="s">
        <v>336</v>
      </c>
      <c r="M28" s="312" t="s">
        <v>347</v>
      </c>
      <c r="N28" s="309" t="s">
        <v>227</v>
      </c>
      <c r="O28" s="309" t="s">
        <v>348</v>
      </c>
      <c r="P28" s="309" t="s">
        <v>349</v>
      </c>
      <c r="Q28" s="309" t="s">
        <v>350</v>
      </c>
    </row>
    <row r="29" spans="3:17">
      <c r="C29" s="317" t="s">
        <v>351</v>
      </c>
      <c r="D29" s="341">
        <f t="shared" si="3"/>
        <v>5.4450000000000005E-2</v>
      </c>
      <c r="E29" s="319">
        <f t="shared" ref="E29:E31" si="6">+PRODUCT(F29:I29)</f>
        <v>5.4450000000000005E-2</v>
      </c>
      <c r="F29" s="320">
        <v>1</v>
      </c>
      <c r="G29" s="342">
        <v>0.55000000000000004</v>
      </c>
      <c r="H29" s="320">
        <v>0.22</v>
      </c>
      <c r="I29" s="321">
        <v>0.45</v>
      </c>
      <c r="K29" s="312" t="s">
        <v>352</v>
      </c>
      <c r="L29" s="312">
        <f>+G29+0.3*2-0.08</f>
        <v>1.0699999999999998</v>
      </c>
      <c r="M29" s="312">
        <v>2</v>
      </c>
      <c r="N29" s="312">
        <f>ROUND((G29-0.08)/0.15+1,0)</f>
        <v>4</v>
      </c>
      <c r="O29" s="343">
        <v>0.375</v>
      </c>
      <c r="P29" s="312">
        <v>0.56000000000000005</v>
      </c>
      <c r="Q29" s="313">
        <f>+L29*M29*N29*P29</f>
        <v>4.7935999999999996</v>
      </c>
    </row>
    <row r="30" spans="3:17">
      <c r="C30" s="322" t="s">
        <v>353</v>
      </c>
      <c r="D30" s="344">
        <f t="shared" si="3"/>
        <v>0.73919999999999997</v>
      </c>
      <c r="E30" s="324">
        <f t="shared" si="6"/>
        <v>0.73919999999999997</v>
      </c>
      <c r="F30" s="325">
        <v>1</v>
      </c>
      <c r="G30" s="325">
        <f>+G29*2+H29*2</f>
        <v>1.54</v>
      </c>
      <c r="H30" s="325"/>
      <c r="I30" s="326">
        <v>0.48</v>
      </c>
    </row>
    <row r="31" spans="3:17">
      <c r="C31" s="328" t="s">
        <v>354</v>
      </c>
      <c r="D31" s="345">
        <f t="shared" si="3"/>
        <v>4.7935999999999996</v>
      </c>
      <c r="E31" s="330">
        <f t="shared" si="6"/>
        <v>4.7935999999999996</v>
      </c>
      <c r="F31" s="331">
        <f>+Q29</f>
        <v>4.7935999999999996</v>
      </c>
      <c r="G31" s="331"/>
      <c r="H31" s="331"/>
      <c r="I31" s="332"/>
    </row>
    <row r="32" spans="3:17">
      <c r="C32" s="333"/>
      <c r="D32" s="310"/>
      <c r="E32" s="314"/>
      <c r="F32" s="334"/>
      <c r="G32" s="334"/>
      <c r="H32" s="334"/>
      <c r="I32" s="334"/>
      <c r="K32" s="311" t="s">
        <v>355</v>
      </c>
      <c r="L32" s="309" t="s">
        <v>336</v>
      </c>
      <c r="M32" s="312" t="s">
        <v>347</v>
      </c>
      <c r="N32" s="309" t="s">
        <v>227</v>
      </c>
      <c r="O32" s="309" t="s">
        <v>348</v>
      </c>
      <c r="P32" s="309" t="s">
        <v>349</v>
      </c>
      <c r="Q32" s="309" t="s">
        <v>350</v>
      </c>
    </row>
    <row r="33" spans="3:25">
      <c r="C33" s="317" t="s">
        <v>356</v>
      </c>
      <c r="D33" s="341">
        <f t="shared" si="3"/>
        <v>1.04</v>
      </c>
      <c r="E33" s="319">
        <f t="shared" ref="E33:E35" si="7">+PRODUCT(F33:I33)</f>
        <v>1.04</v>
      </c>
      <c r="F33" s="320">
        <v>1</v>
      </c>
      <c r="G33" s="320">
        <f>+E10</f>
        <v>2.6</v>
      </c>
      <c r="H33" s="320">
        <f>+E11</f>
        <v>2</v>
      </c>
      <c r="I33" s="321">
        <f>+H10</f>
        <v>0.2</v>
      </c>
      <c r="K33" s="312" t="s">
        <v>352</v>
      </c>
      <c r="L33" s="312">
        <f>+E10+0.3*2-0.08</f>
        <v>3.12</v>
      </c>
      <c r="M33" s="312">
        <v>2</v>
      </c>
      <c r="N33" s="312">
        <f>ROUND((E11-0.08)/0.25+1,0)</f>
        <v>9</v>
      </c>
      <c r="O33" s="343">
        <v>0.375</v>
      </c>
      <c r="P33" s="312">
        <v>0.56000000000000005</v>
      </c>
      <c r="Q33" s="313">
        <f>+L33*M33*N33*P33</f>
        <v>31.449600000000004</v>
      </c>
    </row>
    <row r="34" spans="3:25">
      <c r="C34" s="322" t="s">
        <v>353</v>
      </c>
      <c r="D34" s="344">
        <f t="shared" si="3"/>
        <v>1.8399999999999999</v>
      </c>
      <c r="E34" s="324">
        <f t="shared" si="7"/>
        <v>1.8399999999999999</v>
      </c>
      <c r="F34" s="325">
        <v>1</v>
      </c>
      <c r="G34" s="325">
        <f>+G33*2+H33*2</f>
        <v>9.1999999999999993</v>
      </c>
      <c r="H34" s="325"/>
      <c r="I34" s="326">
        <f>+I33</f>
        <v>0.2</v>
      </c>
      <c r="K34" s="312" t="s">
        <v>357</v>
      </c>
      <c r="L34" s="312">
        <f>+E11+0.3*2-0.08</f>
        <v>2.52</v>
      </c>
      <c r="M34" s="312">
        <v>2</v>
      </c>
      <c r="N34" s="312">
        <f>ROUND((E10-0.08)/0.25+1,0)</f>
        <v>11</v>
      </c>
      <c r="O34" s="343">
        <v>0.375</v>
      </c>
      <c r="P34" s="312">
        <v>0.56000000000000005</v>
      </c>
      <c r="Q34" s="313">
        <f>+L34*M34*N34*P34</f>
        <v>31.046400000000002</v>
      </c>
    </row>
    <row r="35" spans="3:25">
      <c r="C35" s="328" t="s">
        <v>354</v>
      </c>
      <c r="D35" s="345">
        <f t="shared" si="3"/>
        <v>62.496000000000009</v>
      </c>
      <c r="E35" s="330">
        <f t="shared" si="7"/>
        <v>62.496000000000009</v>
      </c>
      <c r="F35" s="331">
        <f>+Q35</f>
        <v>62.496000000000009</v>
      </c>
      <c r="G35" s="331"/>
      <c r="H35" s="331"/>
      <c r="I35" s="332"/>
      <c r="Q35" s="310">
        <f>SUM(Q33:Q34)</f>
        <v>62.496000000000009</v>
      </c>
    </row>
    <row r="36" spans="3:25">
      <c r="C36" s="333"/>
      <c r="D36" s="310"/>
      <c r="E36" s="314"/>
      <c r="F36" s="334"/>
      <c r="G36" s="334"/>
      <c r="H36" s="334"/>
      <c r="I36" s="334"/>
    </row>
    <row r="37" spans="3:25">
      <c r="C37" s="317" t="s">
        <v>358</v>
      </c>
      <c r="D37" s="341">
        <f t="shared" si="3"/>
        <v>4.7039999999999997</v>
      </c>
      <c r="E37" s="319">
        <f t="shared" ref="E37:E40" si="8">+PRODUCT(F37:I37)</f>
        <v>4.7039999999999997</v>
      </c>
      <c r="F37" s="320">
        <v>1</v>
      </c>
      <c r="G37" s="320">
        <f>+E10*2+(E11-2*H11)*2</f>
        <v>8.4</v>
      </c>
      <c r="H37" s="320">
        <f>+H11</f>
        <v>0.2</v>
      </c>
      <c r="I37" s="321">
        <f>+E13</f>
        <v>2.8</v>
      </c>
      <c r="K37" s="311" t="s">
        <v>359</v>
      </c>
      <c r="L37" s="309" t="s">
        <v>336</v>
      </c>
      <c r="M37" s="312" t="s">
        <v>360</v>
      </c>
      <c r="N37" s="309" t="s">
        <v>227</v>
      </c>
      <c r="O37" s="309" t="s">
        <v>348</v>
      </c>
      <c r="P37" s="309" t="s">
        <v>349</v>
      </c>
      <c r="Q37" s="309" t="s">
        <v>350</v>
      </c>
      <c r="S37" s="311" t="s">
        <v>361</v>
      </c>
      <c r="T37" s="309" t="s">
        <v>336</v>
      </c>
      <c r="U37" s="312" t="s">
        <v>360</v>
      </c>
      <c r="V37" s="309" t="s">
        <v>227</v>
      </c>
      <c r="W37" s="309" t="s">
        <v>348</v>
      </c>
      <c r="X37" s="309" t="s">
        <v>349</v>
      </c>
      <c r="Y37" s="309" t="s">
        <v>350</v>
      </c>
    </row>
    <row r="38" spans="3:25">
      <c r="C38" s="322" t="s">
        <v>353</v>
      </c>
      <c r="D38" s="344">
        <f>+E38+E39</f>
        <v>47.04</v>
      </c>
      <c r="E38" s="324">
        <f t="shared" si="8"/>
        <v>25.759999999999998</v>
      </c>
      <c r="F38" s="325">
        <v>1</v>
      </c>
      <c r="G38" s="325">
        <f>+(E10+E11)*2</f>
        <v>9.1999999999999993</v>
      </c>
      <c r="H38" s="325"/>
      <c r="I38" s="326">
        <f>+I37</f>
        <v>2.8</v>
      </c>
      <c r="K38" s="312" t="s">
        <v>362</v>
      </c>
      <c r="L38" s="312">
        <f>+E10+0.3*2-0.08</f>
        <v>3.12</v>
      </c>
      <c r="M38" s="312">
        <f>2+2</f>
        <v>4</v>
      </c>
      <c r="N38" s="312">
        <f>ROUND((E13-0.08)/0.25+1,0)</f>
        <v>12</v>
      </c>
      <c r="O38" s="343">
        <v>0.375</v>
      </c>
      <c r="P38" s="312">
        <v>0.56000000000000005</v>
      </c>
      <c r="Q38" s="313">
        <f t="shared" ref="Q38:Q39" si="9">+L38*M38*N38*P38</f>
        <v>83.865600000000001</v>
      </c>
      <c r="S38" s="312" t="s">
        <v>362</v>
      </c>
      <c r="T38" s="312">
        <f>+E11+0.3*2-0.08</f>
        <v>2.52</v>
      </c>
      <c r="U38" s="312">
        <f>2+2</f>
        <v>4</v>
      </c>
      <c r="V38" s="312">
        <f>ROUND((E13-0.08)/0.25+1,0)</f>
        <v>12</v>
      </c>
      <c r="W38" s="343">
        <v>0.375</v>
      </c>
      <c r="X38" s="312">
        <v>0.56000000000000005</v>
      </c>
      <c r="Y38" s="313">
        <f t="shared" ref="Y38:Y39" si="10">+T38*U38*V38*X38</f>
        <v>67.737600000000015</v>
      </c>
    </row>
    <row r="39" spans="3:25">
      <c r="C39" s="322"/>
      <c r="D39" s="344"/>
      <c r="E39" s="324">
        <f t="shared" si="8"/>
        <v>21.28</v>
      </c>
      <c r="F39" s="325">
        <v>1</v>
      </c>
      <c r="G39" s="325">
        <f>+(E10-2*H11)*2+(E11-2*H11)*2</f>
        <v>7.6000000000000005</v>
      </c>
      <c r="H39" s="325"/>
      <c r="I39" s="326">
        <f>+I38</f>
        <v>2.8</v>
      </c>
      <c r="K39" s="312" t="s">
        <v>363</v>
      </c>
      <c r="L39" s="312">
        <f>+E13+0.3*2-0.04+H12+H10</f>
        <v>3.7600000000000002</v>
      </c>
      <c r="M39" s="312">
        <f>2+2</f>
        <v>4</v>
      </c>
      <c r="N39" s="312">
        <f>ROUND((E10-0.08)/0.25+1,0)</f>
        <v>11</v>
      </c>
      <c r="O39" s="343">
        <v>0.375</v>
      </c>
      <c r="P39" s="312">
        <v>0.56000000000000005</v>
      </c>
      <c r="Q39" s="313">
        <f t="shared" si="9"/>
        <v>92.646400000000014</v>
      </c>
      <c r="S39" s="312" t="s">
        <v>363</v>
      </c>
      <c r="T39" s="312">
        <f>+E13+0.3*2-0.04+H12+H10</f>
        <v>3.7600000000000002</v>
      </c>
      <c r="U39" s="312">
        <f>2+2</f>
        <v>4</v>
      </c>
      <c r="V39" s="312">
        <f>ROUND((E11-0.08)/0.25+1,0)</f>
        <v>9</v>
      </c>
      <c r="W39" s="343">
        <v>0.375</v>
      </c>
      <c r="X39" s="312">
        <v>0.56000000000000005</v>
      </c>
      <c r="Y39" s="313">
        <f t="shared" si="10"/>
        <v>75.801600000000022</v>
      </c>
    </row>
    <row r="40" spans="3:25">
      <c r="C40" s="328" t="s">
        <v>354</v>
      </c>
      <c r="D40" s="345">
        <f t="shared" si="3"/>
        <v>320.05120000000005</v>
      </c>
      <c r="E40" s="330">
        <f t="shared" si="8"/>
        <v>320.05120000000005</v>
      </c>
      <c r="F40" s="331">
        <f>+Q40+Y40</f>
        <v>320.05120000000005</v>
      </c>
      <c r="G40" s="331"/>
      <c r="H40" s="331"/>
      <c r="I40" s="332"/>
      <c r="Q40" s="310">
        <f>SUM(Q38:Q39)</f>
        <v>176.512</v>
      </c>
      <c r="Y40" s="310">
        <f>SUM(Y38:Y39)</f>
        <v>143.53920000000005</v>
      </c>
    </row>
    <row r="41" spans="3:25">
      <c r="C41" s="346"/>
      <c r="E41" s="314"/>
      <c r="F41" s="334"/>
      <c r="G41" s="334"/>
      <c r="H41" s="334"/>
      <c r="I41" s="334"/>
    </row>
    <row r="42" spans="3:25">
      <c r="C42" s="317" t="s">
        <v>364</v>
      </c>
      <c r="D42" s="341">
        <f>+E42+E43</f>
        <v>0.98345133223538372</v>
      </c>
      <c r="E42" s="319">
        <f t="shared" ref="E42:E48" si="11">+PRODUCT(F42:I42)</f>
        <v>1.04</v>
      </c>
      <c r="F42" s="320">
        <v>1</v>
      </c>
      <c r="G42" s="320">
        <f>+G33</f>
        <v>2.6</v>
      </c>
      <c r="H42" s="320">
        <f>+H33</f>
        <v>2</v>
      </c>
      <c r="I42" s="321">
        <f>+H12</f>
        <v>0.2</v>
      </c>
      <c r="K42" s="311" t="s">
        <v>365</v>
      </c>
      <c r="L42" s="309" t="s">
        <v>336</v>
      </c>
      <c r="M42" s="312" t="s">
        <v>347</v>
      </c>
      <c r="N42" s="309" t="s">
        <v>227</v>
      </c>
      <c r="O42" s="309" t="s">
        <v>348</v>
      </c>
      <c r="P42" s="309" t="s">
        <v>349</v>
      </c>
      <c r="Q42" s="309" t="s">
        <v>350</v>
      </c>
    </row>
    <row r="43" spans="3:25">
      <c r="C43" s="322"/>
      <c r="D43" s="344"/>
      <c r="E43" s="324">
        <f t="shared" si="11"/>
        <v>-5.6548667764616284E-2</v>
      </c>
      <c r="F43" s="325">
        <v>-1</v>
      </c>
      <c r="G43" s="325">
        <f>+PI()*0.3^2</f>
        <v>0.28274333882308139</v>
      </c>
      <c r="H43" s="325"/>
      <c r="I43" s="326">
        <f>+I42</f>
        <v>0.2</v>
      </c>
      <c r="K43" s="312" t="s">
        <v>352</v>
      </c>
      <c r="L43" s="312">
        <f>+E10+0.3*2-0.08</f>
        <v>3.12</v>
      </c>
      <c r="M43" s="312">
        <v>2</v>
      </c>
      <c r="N43" s="312">
        <f>ROUND((E11-0.08)/0.25+1,0)</f>
        <v>9</v>
      </c>
      <c r="O43" s="343">
        <v>0.375</v>
      </c>
      <c r="P43" s="312">
        <v>0.56000000000000005</v>
      </c>
      <c r="Q43" s="313">
        <f>+L43*M43*N43*P43*1.05</f>
        <v>33.022080000000003</v>
      </c>
    </row>
    <row r="44" spans="3:25">
      <c r="C44" s="322" t="s">
        <v>353</v>
      </c>
      <c r="D44" s="344">
        <f>SUM(E44:E47)</f>
        <v>1.4169911184307757</v>
      </c>
      <c r="E44" s="324">
        <f t="shared" si="11"/>
        <v>1.04</v>
      </c>
      <c r="F44" s="325">
        <v>1</v>
      </c>
      <c r="G44" s="325">
        <f>+G42</f>
        <v>2.6</v>
      </c>
      <c r="H44" s="325">
        <f>+H42</f>
        <v>2</v>
      </c>
      <c r="I44" s="326">
        <f>+I42</f>
        <v>0.2</v>
      </c>
      <c r="K44" s="312" t="s">
        <v>357</v>
      </c>
      <c r="L44" s="312">
        <f>+E11+0.3*2-0.08</f>
        <v>2.52</v>
      </c>
      <c r="M44" s="312">
        <v>2</v>
      </c>
      <c r="N44" s="312">
        <f>ROUND((E10-0.08)/0.25+1,0)</f>
        <v>11</v>
      </c>
      <c r="O44" s="343">
        <v>0.375</v>
      </c>
      <c r="P44" s="312">
        <v>0.56000000000000005</v>
      </c>
      <c r="Q44" s="313">
        <f>+L44*M44*N44*P44*1.05</f>
        <v>32.59872</v>
      </c>
    </row>
    <row r="45" spans="3:25">
      <c r="C45" s="322"/>
      <c r="D45" s="344"/>
      <c r="E45" s="324">
        <f t="shared" si="11"/>
        <v>-0.28274333882308139</v>
      </c>
      <c r="F45" s="325">
        <v>-1</v>
      </c>
      <c r="G45" s="325">
        <f>+G43</f>
        <v>0.28274333882308139</v>
      </c>
      <c r="H45" s="325"/>
      <c r="I45" s="326"/>
      <c r="Q45" s="310">
        <f>SUM(Q43:Q44)</f>
        <v>65.620800000000003</v>
      </c>
    </row>
    <row r="46" spans="3:25">
      <c r="C46" s="322"/>
      <c r="D46" s="344"/>
      <c r="E46" s="324">
        <f t="shared" si="11"/>
        <v>0.18849555921538821</v>
      </c>
      <c r="F46" s="325">
        <v>1</v>
      </c>
      <c r="G46" s="325">
        <f>2*PI()*0.3</f>
        <v>1.8849555921538759</v>
      </c>
      <c r="H46" s="325"/>
      <c r="I46" s="326">
        <f>+E12-E13-H10-0.1</f>
        <v>0.10000000000000034</v>
      </c>
    </row>
    <row r="47" spans="3:25">
      <c r="C47" s="322"/>
      <c r="D47" s="344"/>
      <c r="E47" s="324">
        <f t="shared" si="11"/>
        <v>0.47123889803846897</v>
      </c>
      <c r="F47" s="325">
        <v>1</v>
      </c>
      <c r="G47" s="325">
        <f>2*PI()*0.5</f>
        <v>3.1415926535897931</v>
      </c>
      <c r="H47" s="325"/>
      <c r="I47" s="347">
        <v>0.15</v>
      </c>
    </row>
    <row r="48" spans="3:25">
      <c r="C48" s="328" t="s">
        <v>354</v>
      </c>
      <c r="D48" s="345">
        <f t="shared" si="3"/>
        <v>65.620800000000003</v>
      </c>
      <c r="E48" s="330">
        <f t="shared" si="11"/>
        <v>65.620800000000003</v>
      </c>
      <c r="F48" s="331">
        <f>+Q45</f>
        <v>65.620800000000003</v>
      </c>
      <c r="G48" s="331"/>
      <c r="H48" s="331"/>
      <c r="I48" s="332"/>
    </row>
    <row r="49" spans="3:9">
      <c r="C49" s="346"/>
      <c r="E49" s="314"/>
      <c r="F49" s="334"/>
      <c r="G49" s="334"/>
      <c r="H49" s="334"/>
      <c r="I49" s="334"/>
    </row>
    <row r="50" spans="3:9">
      <c r="C50" s="335" t="s">
        <v>366</v>
      </c>
      <c r="D50" s="336">
        <f t="shared" si="3"/>
        <v>21.28</v>
      </c>
      <c r="E50" s="337">
        <f t="shared" ref="E50" si="12">+PRODUCT(F50:I50)</f>
        <v>21.28</v>
      </c>
      <c r="F50" s="338">
        <v>1</v>
      </c>
      <c r="G50" s="338">
        <f>+G39</f>
        <v>7.6000000000000005</v>
      </c>
      <c r="H50" s="338"/>
      <c r="I50" s="339">
        <f>+I37</f>
        <v>2.8</v>
      </c>
    </row>
    <row r="51" spans="3:9">
      <c r="C51" s="346"/>
      <c r="E51" s="314"/>
      <c r="F51" s="334"/>
      <c r="G51" s="334"/>
      <c r="H51" s="334"/>
      <c r="I51" s="334"/>
    </row>
    <row r="52" spans="3:9">
      <c r="C52" s="335" t="s">
        <v>367</v>
      </c>
      <c r="D52" s="336">
        <f t="shared" si="3"/>
        <v>3.5200000000000005</v>
      </c>
      <c r="E52" s="337">
        <f t="shared" ref="E52" si="13">+PRODUCT(F52:I52)</f>
        <v>3.5200000000000005</v>
      </c>
      <c r="F52" s="338">
        <v>1</v>
      </c>
      <c r="G52" s="338">
        <f>+G16-2*H11</f>
        <v>2.2000000000000002</v>
      </c>
      <c r="H52" s="338">
        <f>+H16-2*H11</f>
        <v>1.6</v>
      </c>
      <c r="I52" s="339"/>
    </row>
    <row r="53" spans="3:9">
      <c r="C53" s="346"/>
      <c r="E53" s="314"/>
      <c r="F53" s="334"/>
      <c r="G53" s="334"/>
      <c r="H53" s="334"/>
      <c r="I53" s="334"/>
    </row>
    <row r="54" spans="3:9">
      <c r="C54" s="335" t="s">
        <v>368</v>
      </c>
      <c r="D54" s="336">
        <f t="shared" si="3"/>
        <v>2.8</v>
      </c>
      <c r="E54" s="337">
        <f t="shared" ref="E54" si="14">+PRODUCT(F54:I54)</f>
        <v>2.8</v>
      </c>
      <c r="F54" s="338">
        <v>1</v>
      </c>
      <c r="G54" s="338">
        <f>+E13</f>
        <v>2.8</v>
      </c>
      <c r="H54" s="338"/>
      <c r="I54" s="339"/>
    </row>
    <row r="55" spans="3:9">
      <c r="C55" s="346"/>
      <c r="E55" s="314"/>
      <c r="F55" s="334"/>
      <c r="G55" s="334"/>
      <c r="H55" s="334"/>
      <c r="I55" s="334"/>
    </row>
    <row r="56" spans="3:9">
      <c r="C56" s="335" t="s">
        <v>369</v>
      </c>
      <c r="D56" s="336">
        <f t="shared" si="3"/>
        <v>1</v>
      </c>
      <c r="E56" s="337">
        <f t="shared" ref="E56" si="15">+PRODUCT(F56:I56)</f>
        <v>1</v>
      </c>
      <c r="F56" s="338">
        <v>1</v>
      </c>
      <c r="G56" s="348">
        <v>1</v>
      </c>
      <c r="H56" s="338"/>
      <c r="I56" s="339"/>
    </row>
    <row r="57" spans="3:9">
      <c r="C57" s="346"/>
      <c r="E57" s="314"/>
      <c r="F57" s="334"/>
      <c r="G57" s="334"/>
      <c r="H57" s="334"/>
      <c r="I57" s="334"/>
    </row>
    <row r="58" spans="3:9">
      <c r="C58" s="335" t="s">
        <v>370</v>
      </c>
      <c r="D58" s="336">
        <f t="shared" si="3"/>
        <v>1</v>
      </c>
      <c r="E58" s="337">
        <f t="shared" ref="E58" si="16">+PRODUCT(F58:I58)</f>
        <v>1</v>
      </c>
      <c r="F58" s="338">
        <v>1</v>
      </c>
      <c r="G58" s="348">
        <v>1</v>
      </c>
      <c r="H58" s="338"/>
      <c r="I58" s="339"/>
    </row>
    <row r="61" spans="3:9" s="375" customFormat="1" ht="21">
      <c r="C61" s="372" t="s">
        <v>381</v>
      </c>
      <c r="D61" s="373"/>
      <c r="E61" s="373"/>
      <c r="F61" s="373"/>
      <c r="G61" s="373"/>
      <c r="H61" s="373"/>
      <c r="I61" s="374"/>
    </row>
    <row r="62" spans="3:9">
      <c r="C62" s="316"/>
      <c r="D62" s="314" t="s">
        <v>329</v>
      </c>
      <c r="E62" s="314">
        <f>2.2+0.4</f>
        <v>2.6</v>
      </c>
      <c r="F62" s="314"/>
      <c r="G62" s="314" t="s">
        <v>330</v>
      </c>
      <c r="H62" s="314">
        <v>0.2</v>
      </c>
    </row>
    <row r="63" spans="3:9">
      <c r="C63" s="316"/>
      <c r="D63" s="314" t="s">
        <v>331</v>
      </c>
      <c r="E63" s="314">
        <v>2</v>
      </c>
      <c r="F63" s="314"/>
      <c r="G63" s="314" t="s">
        <v>332</v>
      </c>
      <c r="H63" s="314">
        <v>0.2</v>
      </c>
    </row>
    <row r="64" spans="3:9">
      <c r="C64" s="316"/>
      <c r="D64" s="314" t="s">
        <v>333</v>
      </c>
      <c r="E64" s="314">
        <v>2</v>
      </c>
      <c r="F64" s="314"/>
      <c r="G64" s="314" t="s">
        <v>334</v>
      </c>
      <c r="H64" s="314">
        <v>0.2</v>
      </c>
    </row>
    <row r="65" spans="3:17">
      <c r="C65" s="316"/>
      <c r="D65" s="314" t="s">
        <v>335</v>
      </c>
      <c r="E65" s="314">
        <v>1.6</v>
      </c>
      <c r="F65" s="314"/>
      <c r="G65" s="314"/>
      <c r="H65" s="314"/>
    </row>
    <row r="66" spans="3:17">
      <c r="C66" s="316"/>
    </row>
    <row r="67" spans="3:17">
      <c r="F67" s="313" t="s">
        <v>227</v>
      </c>
      <c r="G67" s="313" t="s">
        <v>336</v>
      </c>
      <c r="H67" s="313" t="s">
        <v>226</v>
      </c>
      <c r="I67" s="313" t="s">
        <v>2</v>
      </c>
    </row>
    <row r="68" spans="3:17">
      <c r="C68" s="317" t="s">
        <v>337</v>
      </c>
      <c r="D68" s="318">
        <f>+E68</f>
        <v>5.2</v>
      </c>
      <c r="E68" s="319">
        <f>+PRODUCT(F68:I68)</f>
        <v>5.2</v>
      </c>
      <c r="F68" s="320">
        <v>1</v>
      </c>
      <c r="G68" s="320">
        <f>+E62</f>
        <v>2.6</v>
      </c>
      <c r="H68" s="320">
        <f>+E63</f>
        <v>2</v>
      </c>
      <c r="I68" s="321"/>
    </row>
    <row r="69" spans="3:17">
      <c r="C69" s="322" t="s">
        <v>338</v>
      </c>
      <c r="D69" s="323">
        <f t="shared" ref="D69" si="17">+E69</f>
        <v>5.2</v>
      </c>
      <c r="E69" s="324">
        <f t="shared" ref="E69:E75" si="18">+PRODUCT(F69:I69)</f>
        <v>5.2</v>
      </c>
      <c r="F69" s="325">
        <f t="shared" ref="F69:H70" si="19">+F68</f>
        <v>1</v>
      </c>
      <c r="G69" s="325">
        <f t="shared" si="19"/>
        <v>2.6</v>
      </c>
      <c r="H69" s="325">
        <f t="shared" si="19"/>
        <v>2</v>
      </c>
      <c r="I69" s="326"/>
    </row>
    <row r="70" spans="3:17">
      <c r="C70" s="322" t="s">
        <v>339</v>
      </c>
      <c r="D70" s="323">
        <f>SUM(E70:E72)</f>
        <v>20.456</v>
      </c>
      <c r="E70" s="324">
        <f t="shared" si="18"/>
        <v>10.4</v>
      </c>
      <c r="F70" s="325">
        <f t="shared" si="19"/>
        <v>1</v>
      </c>
      <c r="G70" s="325">
        <f t="shared" si="19"/>
        <v>2.6</v>
      </c>
      <c r="H70" s="325">
        <f t="shared" si="19"/>
        <v>2</v>
      </c>
      <c r="I70" s="326">
        <f>+E64</f>
        <v>2</v>
      </c>
    </row>
    <row r="71" spans="3:17">
      <c r="C71" s="327" t="s">
        <v>340</v>
      </c>
      <c r="D71" s="324"/>
      <c r="E71" s="324">
        <f t="shared" si="18"/>
        <v>9.984</v>
      </c>
      <c r="F71" s="325">
        <v>0.8</v>
      </c>
      <c r="G71" s="325">
        <f>+(G70*2+1.2)+H70*2</f>
        <v>10.4</v>
      </c>
      <c r="H71" s="325">
        <v>0.6</v>
      </c>
      <c r="I71" s="326">
        <f>+I70</f>
        <v>2</v>
      </c>
    </row>
    <row r="72" spans="3:17">
      <c r="C72" s="327"/>
      <c r="D72" s="324"/>
      <c r="E72" s="324">
        <f t="shared" si="18"/>
        <v>7.1999999999999995E-2</v>
      </c>
      <c r="F72" s="325">
        <v>0.8</v>
      </c>
      <c r="G72" s="325">
        <v>0.3</v>
      </c>
      <c r="H72" s="325">
        <v>0.3</v>
      </c>
      <c r="I72" s="326">
        <v>1</v>
      </c>
    </row>
    <row r="73" spans="3:17">
      <c r="C73" s="322" t="s">
        <v>341</v>
      </c>
      <c r="D73" s="323">
        <f>+E73</f>
        <v>5.2</v>
      </c>
      <c r="E73" s="324">
        <f t="shared" si="18"/>
        <v>5.2</v>
      </c>
      <c r="F73" s="325">
        <f>+F70</f>
        <v>1</v>
      </c>
      <c r="G73" s="325">
        <f>+G70</f>
        <v>2.6</v>
      </c>
      <c r="H73" s="325">
        <f>+H70</f>
        <v>2</v>
      </c>
      <c r="I73" s="326"/>
    </row>
    <row r="74" spans="3:17">
      <c r="C74" s="322" t="s">
        <v>342</v>
      </c>
      <c r="D74" s="323">
        <f t="shared" ref="D74:D111" si="20">+E74</f>
        <v>9.984</v>
      </c>
      <c r="E74" s="324">
        <f t="shared" si="18"/>
        <v>9.984</v>
      </c>
      <c r="F74" s="325">
        <f>+E71</f>
        <v>9.984</v>
      </c>
      <c r="G74" s="325"/>
      <c r="H74" s="325"/>
      <c r="I74" s="326"/>
    </row>
    <row r="75" spans="3:17">
      <c r="C75" s="328" t="s">
        <v>343</v>
      </c>
      <c r="D75" s="329">
        <f t="shared" si="20"/>
        <v>10.472</v>
      </c>
      <c r="E75" s="330">
        <f t="shared" si="18"/>
        <v>10.472</v>
      </c>
      <c r="F75" s="331">
        <f>+D70-D74</f>
        <v>10.472</v>
      </c>
      <c r="G75" s="331"/>
      <c r="H75" s="331"/>
      <c r="I75" s="332"/>
    </row>
    <row r="76" spans="3:17">
      <c r="C76" s="333"/>
      <c r="D76" s="310"/>
      <c r="E76" s="314"/>
      <c r="F76" s="334"/>
      <c r="G76" s="334"/>
      <c r="H76" s="334"/>
      <c r="I76" s="334"/>
    </row>
    <row r="77" spans="3:17">
      <c r="C77" s="335" t="s">
        <v>344</v>
      </c>
      <c r="D77" s="336">
        <f t="shared" si="20"/>
        <v>4.4999999999999998E-2</v>
      </c>
      <c r="E77" s="337">
        <f t="shared" ref="E77" si="21">+PRODUCT(F77:I77)</f>
        <v>4.4999999999999998E-2</v>
      </c>
      <c r="F77" s="338">
        <v>1</v>
      </c>
      <c r="G77" s="338">
        <v>0.3</v>
      </c>
      <c r="H77" s="338">
        <v>0.3</v>
      </c>
      <c r="I77" s="339">
        <v>0.5</v>
      </c>
    </row>
    <row r="78" spans="3:17">
      <c r="C78" s="333"/>
      <c r="D78" s="310"/>
      <c r="E78" s="314"/>
      <c r="F78" s="334"/>
      <c r="G78" s="334"/>
      <c r="H78" s="334"/>
      <c r="I78" s="334"/>
    </row>
    <row r="79" spans="3:17">
      <c r="C79" s="335" t="s">
        <v>345</v>
      </c>
      <c r="D79" s="336">
        <f t="shared" si="20"/>
        <v>0.52</v>
      </c>
      <c r="E79" s="337">
        <f t="shared" ref="E79" si="22">+PRODUCT(F79:I79)</f>
        <v>0.52</v>
      </c>
      <c r="F79" s="338">
        <f>+F68</f>
        <v>1</v>
      </c>
      <c r="G79" s="338">
        <f>+G68</f>
        <v>2.6</v>
      </c>
      <c r="H79" s="338">
        <f>+H68</f>
        <v>2</v>
      </c>
      <c r="I79" s="339">
        <v>0.1</v>
      </c>
    </row>
    <row r="80" spans="3:17">
      <c r="C80" s="333"/>
      <c r="D80" s="340"/>
      <c r="F80" s="334"/>
      <c r="G80" s="334"/>
      <c r="H80" s="334"/>
      <c r="I80" s="334"/>
      <c r="K80" s="311" t="s">
        <v>346</v>
      </c>
      <c r="L80" s="309" t="s">
        <v>336</v>
      </c>
      <c r="M80" s="312" t="s">
        <v>347</v>
      </c>
      <c r="N80" s="309" t="s">
        <v>227</v>
      </c>
      <c r="O80" s="309" t="s">
        <v>348</v>
      </c>
      <c r="P80" s="309" t="s">
        <v>349</v>
      </c>
      <c r="Q80" s="309" t="s">
        <v>350</v>
      </c>
    </row>
    <row r="81" spans="3:25">
      <c r="C81" s="317" t="s">
        <v>351</v>
      </c>
      <c r="D81" s="341">
        <f t="shared" si="20"/>
        <v>5.808E-2</v>
      </c>
      <c r="E81" s="319">
        <f t="shared" ref="E81:E83" si="23">+PRODUCT(F81:I81)</f>
        <v>5.808E-2</v>
      </c>
      <c r="F81" s="320">
        <v>1</v>
      </c>
      <c r="G81" s="342">
        <v>0.55000000000000004</v>
      </c>
      <c r="H81" s="320">
        <v>0.22</v>
      </c>
      <c r="I81" s="321">
        <v>0.48</v>
      </c>
      <c r="K81" s="312" t="s">
        <v>352</v>
      </c>
      <c r="L81" s="312">
        <f>+G81+0.3*2-0.08</f>
        <v>1.0699999999999998</v>
      </c>
      <c r="M81" s="312">
        <v>2</v>
      </c>
      <c r="N81" s="312">
        <f>ROUND((G81-0.08)/0.15+1,0)</f>
        <v>4</v>
      </c>
      <c r="O81" s="343">
        <v>0.375</v>
      </c>
      <c r="P81" s="312">
        <v>0.56000000000000005</v>
      </c>
      <c r="Q81" s="313">
        <f>+L81*M81*N81*P81</f>
        <v>4.7935999999999996</v>
      </c>
    </row>
    <row r="82" spans="3:25">
      <c r="C82" s="322" t="s">
        <v>353</v>
      </c>
      <c r="D82" s="344">
        <f t="shared" si="20"/>
        <v>0.73919999999999997</v>
      </c>
      <c r="E82" s="324">
        <f t="shared" si="23"/>
        <v>0.73919999999999997</v>
      </c>
      <c r="F82" s="325">
        <v>1</v>
      </c>
      <c r="G82" s="325">
        <f>+G81*2+H81*2</f>
        <v>1.54</v>
      </c>
      <c r="H82" s="325"/>
      <c r="I82" s="326">
        <v>0.48</v>
      </c>
    </row>
    <row r="83" spans="3:25">
      <c r="C83" s="328" t="s">
        <v>354</v>
      </c>
      <c r="D83" s="345">
        <f t="shared" si="20"/>
        <v>4.7935999999999996</v>
      </c>
      <c r="E83" s="330">
        <f t="shared" si="23"/>
        <v>4.7935999999999996</v>
      </c>
      <c r="F83" s="331">
        <f>+Q81</f>
        <v>4.7935999999999996</v>
      </c>
      <c r="G83" s="331"/>
      <c r="H83" s="331"/>
      <c r="I83" s="332"/>
    </row>
    <row r="84" spans="3:25">
      <c r="C84" s="333"/>
      <c r="D84" s="310"/>
      <c r="E84" s="314"/>
      <c r="F84" s="334"/>
      <c r="G84" s="334"/>
      <c r="H84" s="334"/>
      <c r="I84" s="334"/>
      <c r="K84" s="311" t="s">
        <v>355</v>
      </c>
      <c r="L84" s="309" t="s">
        <v>336</v>
      </c>
      <c r="M84" s="312" t="s">
        <v>347</v>
      </c>
      <c r="N84" s="309" t="s">
        <v>227</v>
      </c>
      <c r="O84" s="309" t="s">
        <v>348</v>
      </c>
      <c r="P84" s="309" t="s">
        <v>349</v>
      </c>
      <c r="Q84" s="309" t="s">
        <v>350</v>
      </c>
    </row>
    <row r="85" spans="3:25">
      <c r="C85" s="317" t="s">
        <v>356</v>
      </c>
      <c r="D85" s="341">
        <f t="shared" si="20"/>
        <v>1.04</v>
      </c>
      <c r="E85" s="319">
        <f t="shared" ref="E85:E87" si="24">+PRODUCT(F85:I85)</f>
        <v>1.04</v>
      </c>
      <c r="F85" s="320">
        <v>1</v>
      </c>
      <c r="G85" s="320">
        <f>+E62</f>
        <v>2.6</v>
      </c>
      <c r="H85" s="320">
        <f>+E63</f>
        <v>2</v>
      </c>
      <c r="I85" s="321">
        <f>+H62</f>
        <v>0.2</v>
      </c>
      <c r="K85" s="312" t="s">
        <v>352</v>
      </c>
      <c r="L85" s="312">
        <f>+E62+0.3*2-0.08</f>
        <v>3.12</v>
      </c>
      <c r="M85" s="312">
        <v>2</v>
      </c>
      <c r="N85" s="312">
        <f>ROUND((E63-0.08)/0.25+1,0)</f>
        <v>9</v>
      </c>
      <c r="O85" s="343">
        <v>0.375</v>
      </c>
      <c r="P85" s="312">
        <v>0.56000000000000005</v>
      </c>
      <c r="Q85" s="313">
        <f>+L85*M85*N85*P85</f>
        <v>31.449600000000004</v>
      </c>
    </row>
    <row r="86" spans="3:25">
      <c r="C86" s="322" t="s">
        <v>353</v>
      </c>
      <c r="D86" s="344">
        <f t="shared" si="20"/>
        <v>1.8399999999999999</v>
      </c>
      <c r="E86" s="324">
        <f t="shared" si="24"/>
        <v>1.8399999999999999</v>
      </c>
      <c r="F86" s="325">
        <v>1</v>
      </c>
      <c r="G86" s="325">
        <f>+G85*2+H85*2</f>
        <v>9.1999999999999993</v>
      </c>
      <c r="H86" s="325"/>
      <c r="I86" s="326">
        <f>+I85</f>
        <v>0.2</v>
      </c>
      <c r="K86" s="312" t="s">
        <v>357</v>
      </c>
      <c r="L86" s="312">
        <f>+E63+0.3*2-0.08</f>
        <v>2.52</v>
      </c>
      <c r="M86" s="312">
        <v>2</v>
      </c>
      <c r="N86" s="312">
        <f>ROUND((E62-0.08)/0.25+1,0)</f>
        <v>11</v>
      </c>
      <c r="O86" s="343">
        <v>0.375</v>
      </c>
      <c r="P86" s="312">
        <v>0.56000000000000005</v>
      </c>
      <c r="Q86" s="313">
        <f>+L86*M86*N86*P86</f>
        <v>31.046400000000002</v>
      </c>
    </row>
    <row r="87" spans="3:25">
      <c r="C87" s="328" t="s">
        <v>354</v>
      </c>
      <c r="D87" s="345">
        <f t="shared" si="20"/>
        <v>62.496000000000009</v>
      </c>
      <c r="E87" s="330">
        <f t="shared" si="24"/>
        <v>62.496000000000009</v>
      </c>
      <c r="F87" s="331">
        <f>+Q87</f>
        <v>62.496000000000009</v>
      </c>
      <c r="G87" s="331"/>
      <c r="H87" s="331"/>
      <c r="I87" s="332"/>
      <c r="Q87" s="310">
        <f>SUM(Q85:Q86)</f>
        <v>62.496000000000009</v>
      </c>
    </row>
    <row r="88" spans="3:25">
      <c r="C88" s="333"/>
      <c r="D88" s="310"/>
      <c r="E88" s="314"/>
      <c r="F88" s="334"/>
      <c r="G88" s="334"/>
      <c r="H88" s="334"/>
      <c r="I88" s="334"/>
    </row>
    <row r="89" spans="3:25">
      <c r="C89" s="317" t="s">
        <v>358</v>
      </c>
      <c r="D89" s="341">
        <f>+E89+D92</f>
        <v>3.2430000000000008</v>
      </c>
      <c r="E89" s="319">
        <f t="shared" ref="E89:E93" si="25">+PRODUCT(F89:I89)</f>
        <v>2.6880000000000006</v>
      </c>
      <c r="F89" s="320">
        <v>1</v>
      </c>
      <c r="G89" s="320">
        <f>+E62*2+(E63-2*H63)*2</f>
        <v>8.4</v>
      </c>
      <c r="H89" s="320">
        <f>+H63</f>
        <v>0.2</v>
      </c>
      <c r="I89" s="321">
        <f>+E65</f>
        <v>1.6</v>
      </c>
      <c r="K89" s="311" t="s">
        <v>359</v>
      </c>
      <c r="L89" s="309" t="s">
        <v>336</v>
      </c>
      <c r="M89" s="312" t="s">
        <v>360</v>
      </c>
      <c r="N89" s="309" t="s">
        <v>227</v>
      </c>
      <c r="O89" s="309" t="s">
        <v>348</v>
      </c>
      <c r="P89" s="309" t="s">
        <v>349</v>
      </c>
      <c r="Q89" s="309" t="s">
        <v>350</v>
      </c>
      <c r="S89" s="311" t="s">
        <v>361</v>
      </c>
      <c r="T89" s="309" t="s">
        <v>336</v>
      </c>
      <c r="U89" s="312" t="s">
        <v>360</v>
      </c>
      <c r="V89" s="309" t="s">
        <v>227</v>
      </c>
      <c r="W89" s="309" t="s">
        <v>348</v>
      </c>
      <c r="X89" s="309" t="s">
        <v>349</v>
      </c>
      <c r="Y89" s="309" t="s">
        <v>350</v>
      </c>
    </row>
    <row r="90" spans="3:25">
      <c r="C90" s="322" t="s">
        <v>353</v>
      </c>
      <c r="D90" s="344">
        <f>+E90+E91</f>
        <v>26.880000000000003</v>
      </c>
      <c r="E90" s="324">
        <f t="shared" si="25"/>
        <v>14.719999999999999</v>
      </c>
      <c r="F90" s="325">
        <v>1</v>
      </c>
      <c r="G90" s="325">
        <f>+(E62+E63)*2</f>
        <v>9.1999999999999993</v>
      </c>
      <c r="H90" s="325"/>
      <c r="I90" s="326">
        <f>+I89</f>
        <v>1.6</v>
      </c>
      <c r="K90" s="312" t="s">
        <v>362</v>
      </c>
      <c r="L90" s="312">
        <f>+E62+0.3*2-0.08</f>
        <v>3.12</v>
      </c>
      <c r="M90" s="312">
        <f>2+2</f>
        <v>4</v>
      </c>
      <c r="N90" s="312">
        <f>ROUND((E65-0.08)/0.25+1,0)</f>
        <v>7</v>
      </c>
      <c r="O90" s="343">
        <v>0.375</v>
      </c>
      <c r="P90" s="312">
        <v>0.56000000000000005</v>
      </c>
      <c r="Q90" s="313">
        <f t="shared" ref="Q90:Q91" si="26">+L90*M90*N90*P90</f>
        <v>48.921600000000005</v>
      </c>
      <c r="S90" s="312" t="s">
        <v>362</v>
      </c>
      <c r="T90" s="312">
        <f>+E63+0.3*2-0.08</f>
        <v>2.52</v>
      </c>
      <c r="U90" s="312">
        <f>2+2</f>
        <v>4</v>
      </c>
      <c r="V90" s="312">
        <f>ROUND((E65-0.08)/0.25+1,0)</f>
        <v>7</v>
      </c>
      <c r="W90" s="343">
        <v>0.375</v>
      </c>
      <c r="X90" s="312">
        <v>0.56000000000000005</v>
      </c>
      <c r="Y90" s="313">
        <f t="shared" ref="Y90:Y91" si="27">+T90*U90*V90*X90</f>
        <v>39.513600000000004</v>
      </c>
    </row>
    <row r="91" spans="3:25">
      <c r="C91" s="322"/>
      <c r="D91" s="344"/>
      <c r="E91" s="324">
        <f t="shared" si="25"/>
        <v>12.160000000000002</v>
      </c>
      <c r="F91" s="325">
        <v>1</v>
      </c>
      <c r="G91" s="325">
        <f>+(E62-2*H63)*2+(E63-2*H63)*2</f>
        <v>7.6000000000000005</v>
      </c>
      <c r="H91" s="325"/>
      <c r="I91" s="326">
        <f>+I90</f>
        <v>1.6</v>
      </c>
      <c r="K91" s="312" t="s">
        <v>363</v>
      </c>
      <c r="L91" s="312">
        <f>+E65+0.3*2-0.04+H64+H62</f>
        <v>2.5600000000000005</v>
      </c>
      <c r="M91" s="312">
        <f>2+2</f>
        <v>4</v>
      </c>
      <c r="N91" s="312">
        <f>ROUND((E62-0.08)/0.25+1,0)</f>
        <v>11</v>
      </c>
      <c r="O91" s="343">
        <v>0.375</v>
      </c>
      <c r="P91" s="312">
        <v>0.56000000000000005</v>
      </c>
      <c r="Q91" s="313">
        <f t="shared" si="26"/>
        <v>63.078400000000016</v>
      </c>
      <c r="S91" s="312" t="s">
        <v>363</v>
      </c>
      <c r="T91" s="312">
        <f>+E65+0.3*2-0.04+H64+H62</f>
        <v>2.5600000000000005</v>
      </c>
      <c r="U91" s="312">
        <f>2+2</f>
        <v>4</v>
      </c>
      <c r="V91" s="312">
        <f>ROUND((E63-0.08)/0.25+1,0)</f>
        <v>9</v>
      </c>
      <c r="W91" s="343">
        <v>0.375</v>
      </c>
      <c r="X91" s="312">
        <v>0.56000000000000005</v>
      </c>
      <c r="Y91" s="313">
        <f t="shared" si="27"/>
        <v>51.609600000000022</v>
      </c>
    </row>
    <row r="92" spans="3:25">
      <c r="C92" s="322" t="s">
        <v>1362</v>
      </c>
      <c r="D92" s="344">
        <f t="shared" ref="D92" si="28">+E92</f>
        <v>0.55500000000000005</v>
      </c>
      <c r="E92" s="324">
        <f t="shared" si="25"/>
        <v>0.55500000000000005</v>
      </c>
      <c r="F92" s="325">
        <v>1</v>
      </c>
      <c r="G92" s="325">
        <f>1.55+0.3</f>
        <v>1.85</v>
      </c>
      <c r="H92" s="325">
        <v>0.6</v>
      </c>
      <c r="I92" s="326">
        <v>0.5</v>
      </c>
      <c r="O92" s="343"/>
      <c r="Q92" s="313"/>
      <c r="W92" s="343"/>
      <c r="Y92" s="313"/>
    </row>
    <row r="93" spans="3:25">
      <c r="C93" s="328" t="s">
        <v>354</v>
      </c>
      <c r="D93" s="345">
        <f t="shared" si="20"/>
        <v>203.12320000000005</v>
      </c>
      <c r="E93" s="330">
        <f t="shared" si="25"/>
        <v>203.12320000000005</v>
      </c>
      <c r="F93" s="331">
        <f>+Q93+Y93</f>
        <v>203.12320000000005</v>
      </c>
      <c r="G93" s="331"/>
      <c r="H93" s="331"/>
      <c r="I93" s="332"/>
      <c r="Q93" s="310">
        <f>SUM(Q90:Q91)</f>
        <v>112.00000000000003</v>
      </c>
      <c r="Y93" s="310">
        <f>SUM(Y90:Y91)</f>
        <v>91.123200000000026</v>
      </c>
    </row>
    <row r="94" spans="3:25">
      <c r="C94" s="346"/>
      <c r="E94" s="314"/>
      <c r="F94" s="334"/>
      <c r="G94" s="334"/>
      <c r="H94" s="334"/>
      <c r="I94" s="334"/>
    </row>
    <row r="95" spans="3:25">
      <c r="C95" s="317" t="s">
        <v>364</v>
      </c>
      <c r="D95" s="341">
        <f>+E95+E96</f>
        <v>0.64</v>
      </c>
      <c r="E95" s="319">
        <f t="shared" ref="E95:E101" si="29">+PRODUCT(F95:I95)</f>
        <v>1.04</v>
      </c>
      <c r="F95" s="320">
        <v>1</v>
      </c>
      <c r="G95" s="320">
        <f>+G85</f>
        <v>2.6</v>
      </c>
      <c r="H95" s="320">
        <f>+H85</f>
        <v>2</v>
      </c>
      <c r="I95" s="321">
        <f>+H64</f>
        <v>0.2</v>
      </c>
      <c r="K95" s="311" t="s">
        <v>365</v>
      </c>
      <c r="L95" s="309" t="s">
        <v>336</v>
      </c>
      <c r="M95" s="312" t="s">
        <v>347</v>
      </c>
      <c r="N95" s="309" t="s">
        <v>227</v>
      </c>
      <c r="O95" s="309" t="s">
        <v>348</v>
      </c>
      <c r="P95" s="309" t="s">
        <v>349</v>
      </c>
      <c r="Q95" s="309" t="s">
        <v>350</v>
      </c>
    </row>
    <row r="96" spans="3:25">
      <c r="C96" s="322"/>
      <c r="D96" s="344"/>
      <c r="E96" s="324">
        <f t="shared" si="29"/>
        <v>-0.4</v>
      </c>
      <c r="F96" s="325">
        <v>-1</v>
      </c>
      <c r="G96" s="349">
        <v>0.8</v>
      </c>
      <c r="H96" s="349">
        <v>2.5</v>
      </c>
      <c r="I96" s="326">
        <f>+I95</f>
        <v>0.2</v>
      </c>
      <c r="K96" s="312" t="s">
        <v>352</v>
      </c>
      <c r="L96" s="350">
        <f>(E62-0.8)+0.3*2-0.08</f>
        <v>2.3199999999999998</v>
      </c>
      <c r="M96" s="312">
        <v>2</v>
      </c>
      <c r="N96" s="312">
        <f>ROUND((E63-0.08)/0.25+1,0)</f>
        <v>9</v>
      </c>
      <c r="O96" s="343">
        <v>0.375</v>
      </c>
      <c r="P96" s="312">
        <v>0.56000000000000005</v>
      </c>
      <c r="Q96" s="313">
        <f>+L96*M96*N96*P96*1.075</f>
        <v>25.139519999999997</v>
      </c>
    </row>
    <row r="97" spans="3:17">
      <c r="C97" s="322" t="s">
        <v>353</v>
      </c>
      <c r="D97" s="344">
        <f>SUM(E97:E100)</f>
        <v>3.04</v>
      </c>
      <c r="E97" s="324">
        <f t="shared" si="29"/>
        <v>1.04</v>
      </c>
      <c r="F97" s="325">
        <v>1</v>
      </c>
      <c r="G97" s="325">
        <f>+G95</f>
        <v>2.6</v>
      </c>
      <c r="H97" s="325">
        <f>+H95</f>
        <v>2</v>
      </c>
      <c r="I97" s="326">
        <f>+I95</f>
        <v>0.2</v>
      </c>
      <c r="K97" s="312" t="s">
        <v>357</v>
      </c>
      <c r="L97" s="312">
        <f>+E63+0.3*2-0.08</f>
        <v>2.52</v>
      </c>
      <c r="M97" s="312">
        <v>2</v>
      </c>
      <c r="N97" s="312">
        <f>ROUND((E62-0.08)/0.25+1,0)</f>
        <v>11</v>
      </c>
      <c r="O97" s="343">
        <v>0.375</v>
      </c>
      <c r="P97" s="312">
        <v>0.56000000000000005</v>
      </c>
      <c r="Q97" s="313">
        <f>+L97*M97*N97*P97*1.075</f>
        <v>33.374879999999997</v>
      </c>
    </row>
    <row r="98" spans="3:17">
      <c r="C98" s="322"/>
      <c r="D98" s="344"/>
      <c r="E98" s="324">
        <f t="shared" si="29"/>
        <v>-2</v>
      </c>
      <c r="F98" s="325">
        <v>-1</v>
      </c>
      <c r="G98" s="325">
        <f>+G96</f>
        <v>0.8</v>
      </c>
      <c r="H98" s="325">
        <f>+H96</f>
        <v>2.5</v>
      </c>
      <c r="I98" s="326"/>
      <c r="Q98" s="310">
        <f>SUM(Q96:Q97)</f>
        <v>58.514399999999995</v>
      </c>
    </row>
    <row r="99" spans="3:17">
      <c r="C99" s="322"/>
      <c r="D99" s="344"/>
      <c r="E99" s="324">
        <f t="shared" si="29"/>
        <v>2.8</v>
      </c>
      <c r="F99" s="325">
        <v>1</v>
      </c>
      <c r="G99" s="325">
        <f>+G96*2</f>
        <v>1.6</v>
      </c>
      <c r="H99" s="325">
        <f>+H96*2</f>
        <v>5</v>
      </c>
      <c r="I99" s="347">
        <v>0.35</v>
      </c>
    </row>
    <row r="100" spans="3:17">
      <c r="C100" s="322"/>
      <c r="D100" s="344"/>
      <c r="E100" s="324">
        <f t="shared" si="29"/>
        <v>1.2</v>
      </c>
      <c r="F100" s="325">
        <v>1</v>
      </c>
      <c r="G100" s="325">
        <f>+G99</f>
        <v>1.6</v>
      </c>
      <c r="H100" s="325">
        <f>+H99</f>
        <v>5</v>
      </c>
      <c r="I100" s="347">
        <v>0.15</v>
      </c>
    </row>
    <row r="101" spans="3:17">
      <c r="C101" s="328" t="s">
        <v>354</v>
      </c>
      <c r="D101" s="345">
        <f t="shared" si="20"/>
        <v>58.514399999999995</v>
      </c>
      <c r="E101" s="330">
        <f t="shared" si="29"/>
        <v>58.514399999999995</v>
      </c>
      <c r="F101" s="331">
        <f>+Q98</f>
        <v>58.514399999999995</v>
      </c>
      <c r="G101" s="331"/>
      <c r="H101" s="331"/>
      <c r="I101" s="332"/>
    </row>
    <row r="102" spans="3:17">
      <c r="C102" s="346"/>
      <c r="E102" s="314"/>
      <c r="F102" s="334"/>
      <c r="G102" s="334"/>
      <c r="H102" s="334"/>
      <c r="I102" s="334"/>
    </row>
    <row r="103" spans="3:17">
      <c r="C103" s="335" t="s">
        <v>366</v>
      </c>
      <c r="D103" s="336">
        <f t="shared" si="20"/>
        <v>12.160000000000002</v>
      </c>
      <c r="E103" s="337">
        <f t="shared" ref="E103" si="30">+PRODUCT(F103:I103)</f>
        <v>12.160000000000002</v>
      </c>
      <c r="F103" s="338">
        <v>1</v>
      </c>
      <c r="G103" s="338">
        <f>+G91</f>
        <v>7.6000000000000005</v>
      </c>
      <c r="H103" s="338"/>
      <c r="I103" s="339">
        <f>+I89</f>
        <v>1.6</v>
      </c>
    </row>
    <row r="104" spans="3:17">
      <c r="C104" s="346"/>
      <c r="E104" s="314"/>
      <c r="F104" s="334"/>
      <c r="G104" s="334"/>
      <c r="H104" s="334"/>
      <c r="I104" s="334"/>
    </row>
    <row r="105" spans="3:17">
      <c r="C105" s="335" t="s">
        <v>367</v>
      </c>
      <c r="D105" s="336">
        <f t="shared" si="20"/>
        <v>3.5200000000000005</v>
      </c>
      <c r="E105" s="337">
        <f t="shared" ref="E105" si="31">+PRODUCT(F105:I105)</f>
        <v>3.5200000000000005</v>
      </c>
      <c r="F105" s="338">
        <v>1</v>
      </c>
      <c r="G105" s="338">
        <f>+G68-2*H63</f>
        <v>2.2000000000000002</v>
      </c>
      <c r="H105" s="338">
        <f>+H68-2*H63</f>
        <v>1.6</v>
      </c>
      <c r="I105" s="339"/>
    </row>
    <row r="106" spans="3:17">
      <c r="C106" s="346"/>
      <c r="E106" s="314"/>
      <c r="F106" s="334"/>
      <c r="G106" s="334"/>
      <c r="H106" s="334"/>
      <c r="I106" s="334"/>
    </row>
    <row r="107" spans="3:17">
      <c r="C107" s="335" t="s">
        <v>368</v>
      </c>
      <c r="D107" s="336">
        <f t="shared" si="20"/>
        <v>1.6</v>
      </c>
      <c r="E107" s="337">
        <f t="shared" ref="E107" si="32">+PRODUCT(F107:I107)</f>
        <v>1.6</v>
      </c>
      <c r="F107" s="338">
        <v>1</v>
      </c>
      <c r="G107" s="338">
        <f>+E65</f>
        <v>1.6</v>
      </c>
      <c r="H107" s="338"/>
      <c r="I107" s="339"/>
    </row>
    <row r="108" spans="3:17">
      <c r="C108" s="346"/>
      <c r="E108" s="314"/>
      <c r="F108" s="334"/>
      <c r="G108" s="334"/>
      <c r="H108" s="334"/>
      <c r="I108" s="334"/>
    </row>
    <row r="109" spans="3:17">
      <c r="C109" s="335" t="s">
        <v>369</v>
      </c>
      <c r="D109" s="336">
        <f t="shared" si="20"/>
        <v>1</v>
      </c>
      <c r="E109" s="337">
        <f t="shared" ref="E109" si="33">+PRODUCT(F109:I109)</f>
        <v>1</v>
      </c>
      <c r="F109" s="338">
        <v>1</v>
      </c>
      <c r="G109" s="348">
        <v>1</v>
      </c>
      <c r="H109" s="338"/>
      <c r="I109" s="339"/>
    </row>
    <row r="110" spans="3:17">
      <c r="C110" s="346"/>
      <c r="E110" s="314"/>
      <c r="F110" s="334"/>
      <c r="G110" s="334"/>
      <c r="H110" s="334"/>
      <c r="I110" s="334"/>
    </row>
    <row r="111" spans="3:17">
      <c r="C111" s="335" t="s">
        <v>370</v>
      </c>
      <c r="D111" s="336">
        <f t="shared" si="20"/>
        <v>1</v>
      </c>
      <c r="E111" s="337">
        <f t="shared" ref="E111" si="34">+PRODUCT(F111:I111)</f>
        <v>1</v>
      </c>
      <c r="F111" s="338">
        <v>1</v>
      </c>
      <c r="G111" s="348">
        <v>1</v>
      </c>
      <c r="H111" s="338"/>
      <c r="I111" s="339"/>
    </row>
    <row r="114" spans="3:14" s="356" customFormat="1" ht="21" hidden="1">
      <c r="C114" s="352" t="s">
        <v>374</v>
      </c>
      <c r="D114" s="353"/>
      <c r="E114" s="353"/>
      <c r="F114" s="353"/>
      <c r="G114" s="353"/>
      <c r="H114" s="353"/>
      <c r="I114" s="354"/>
      <c r="J114" s="355"/>
    </row>
    <row r="115" spans="3:14" hidden="1">
      <c r="C115" s="316"/>
      <c r="D115" s="314" t="s">
        <v>375</v>
      </c>
      <c r="E115" s="314">
        <v>0.95</v>
      </c>
      <c r="F115" s="314"/>
      <c r="G115" s="314" t="s">
        <v>330</v>
      </c>
      <c r="H115" s="314">
        <v>0.2</v>
      </c>
      <c r="M115" s="312">
        <v>1.84</v>
      </c>
    </row>
    <row r="116" spans="3:14" hidden="1">
      <c r="C116" s="316"/>
      <c r="D116" s="314" t="s">
        <v>331</v>
      </c>
      <c r="E116" s="314"/>
      <c r="F116" s="314"/>
      <c r="G116" s="314" t="s">
        <v>332</v>
      </c>
      <c r="H116" s="314">
        <v>0.2</v>
      </c>
      <c r="M116" s="312">
        <v>0.2</v>
      </c>
    </row>
    <row r="117" spans="3:14" hidden="1">
      <c r="C117" s="316"/>
      <c r="D117" s="314" t="s">
        <v>333</v>
      </c>
      <c r="E117" s="314">
        <v>3.95</v>
      </c>
      <c r="F117" s="314"/>
      <c r="G117" s="314" t="s">
        <v>334</v>
      </c>
      <c r="H117" s="314">
        <v>0.2</v>
      </c>
      <c r="M117" s="312">
        <f>+AVERAGE(M115:M116)</f>
        <v>1.02</v>
      </c>
    </row>
    <row r="118" spans="3:14" hidden="1">
      <c r="C118" s="316"/>
      <c r="D118" s="314" t="s">
        <v>335</v>
      </c>
      <c r="E118" s="314">
        <v>3.45</v>
      </c>
      <c r="F118" s="314"/>
      <c r="G118" s="314"/>
      <c r="H118" s="314"/>
    </row>
    <row r="119" spans="3:14" hidden="1">
      <c r="C119" s="316"/>
    </row>
    <row r="120" spans="3:14" hidden="1">
      <c r="F120" s="313" t="s">
        <v>227</v>
      </c>
      <c r="G120" s="313" t="s">
        <v>4</v>
      </c>
      <c r="H120" s="313" t="s">
        <v>226</v>
      </c>
      <c r="I120" s="313" t="s">
        <v>2</v>
      </c>
    </row>
    <row r="121" spans="3:14" hidden="1">
      <c r="C121" s="317" t="s">
        <v>337</v>
      </c>
      <c r="D121" s="318">
        <f>+E121</f>
        <v>2.8352873698647882</v>
      </c>
      <c r="E121" s="319">
        <f>F121*PI()*G121^2</f>
        <v>2.8352873698647882</v>
      </c>
      <c r="F121" s="320">
        <v>1</v>
      </c>
      <c r="G121" s="320">
        <f>+E115</f>
        <v>0.95</v>
      </c>
      <c r="H121" s="320">
        <f>+E116</f>
        <v>0</v>
      </c>
      <c r="I121" s="321"/>
    </row>
    <row r="122" spans="3:14" hidden="1">
      <c r="C122" s="322" t="s">
        <v>338</v>
      </c>
      <c r="D122" s="323">
        <f t="shared" ref="D122" si="35">+E122</f>
        <v>2.8352873698647882</v>
      </c>
      <c r="E122" s="319">
        <f>F122*PI()*G122^2</f>
        <v>2.8352873698647882</v>
      </c>
      <c r="F122" s="325">
        <f t="shared" ref="F122:H123" si="36">+F121</f>
        <v>1</v>
      </c>
      <c r="G122" s="325">
        <f t="shared" si="36"/>
        <v>0.95</v>
      </c>
      <c r="H122" s="325">
        <f t="shared" si="36"/>
        <v>0</v>
      </c>
      <c r="I122" s="326"/>
    </row>
    <row r="123" spans="3:14" hidden="1">
      <c r="C123" s="322" t="s">
        <v>339</v>
      </c>
      <c r="D123" s="323">
        <f>SUM(E123:E125)</f>
        <v>29.223880261855648</v>
      </c>
      <c r="E123" s="319">
        <f>I123*F123*PI()*G123^2</f>
        <v>11.199385110965913</v>
      </c>
      <c r="F123" s="325">
        <f t="shared" si="36"/>
        <v>1</v>
      </c>
      <c r="G123" s="325">
        <f t="shared" si="36"/>
        <v>0.95</v>
      </c>
      <c r="H123" s="325">
        <f t="shared" si="36"/>
        <v>0</v>
      </c>
      <c r="I123" s="326">
        <f>+E117</f>
        <v>3.95</v>
      </c>
    </row>
    <row r="124" spans="3:14" hidden="1">
      <c r="C124" s="327" t="s">
        <v>340</v>
      </c>
      <c r="D124" s="324"/>
      <c r="E124" s="319">
        <f>I124*F124*PI()*(G124^2-E115)</f>
        <v>18.024495150889734</v>
      </c>
      <c r="F124" s="325">
        <v>1</v>
      </c>
      <c r="G124" s="325">
        <f>+G123+0.6</f>
        <v>1.5499999999999998</v>
      </c>
      <c r="H124" s="325">
        <v>0.6</v>
      </c>
      <c r="I124" s="326">
        <f>+I123</f>
        <v>3.95</v>
      </c>
    </row>
    <row r="125" spans="3:14" hidden="1">
      <c r="C125" s="327"/>
      <c r="D125" s="324"/>
      <c r="E125" s="324">
        <f t="shared" ref="E125:E128" si="37">+PRODUCT(F125:I125)</f>
        <v>0</v>
      </c>
      <c r="F125" s="325">
        <v>0</v>
      </c>
      <c r="G125" s="325">
        <f>+G123</f>
        <v>0.95</v>
      </c>
      <c r="H125" s="325"/>
      <c r="I125" s="326">
        <v>1</v>
      </c>
    </row>
    <row r="126" spans="3:14" hidden="1">
      <c r="C126" s="322" t="s">
        <v>341</v>
      </c>
      <c r="D126" s="323">
        <f>+E126</f>
        <v>2.8352873698647882</v>
      </c>
      <c r="E126" s="319">
        <f>F126*PI()*G126^2</f>
        <v>2.8352873698647882</v>
      </c>
      <c r="F126" s="325">
        <f>+F123</f>
        <v>1</v>
      </c>
      <c r="G126" s="325">
        <f>+G123</f>
        <v>0.95</v>
      </c>
      <c r="H126" s="325">
        <f>+H123</f>
        <v>0</v>
      </c>
      <c r="I126" s="326"/>
    </row>
    <row r="127" spans="3:14" hidden="1">
      <c r="C127" s="322" t="s">
        <v>342</v>
      </c>
      <c r="D127" s="323">
        <f t="shared" ref="D127:D163" si="38">+E127</f>
        <v>18.024495150889734</v>
      </c>
      <c r="E127" s="324">
        <f t="shared" si="37"/>
        <v>18.024495150889734</v>
      </c>
      <c r="F127" s="325">
        <f>+E124</f>
        <v>18.024495150889734</v>
      </c>
      <c r="G127" s="325"/>
      <c r="H127" s="325"/>
      <c r="I127" s="326"/>
    </row>
    <row r="128" spans="3:14" hidden="1">
      <c r="C128" s="328" t="s">
        <v>343</v>
      </c>
      <c r="D128" s="329">
        <f t="shared" si="38"/>
        <v>11.199385110965913</v>
      </c>
      <c r="E128" s="330">
        <f t="shared" si="37"/>
        <v>11.199385110965913</v>
      </c>
      <c r="F128" s="331">
        <f>+D123-D127</f>
        <v>11.199385110965913</v>
      </c>
      <c r="G128" s="331"/>
      <c r="H128" s="331"/>
      <c r="I128" s="332"/>
      <c r="M128" s="312" t="s">
        <v>376</v>
      </c>
      <c r="N128" s="312">
        <f>+E115*2*PI()</f>
        <v>5.9690260418206069</v>
      </c>
    </row>
    <row r="129" spans="3:25" hidden="1">
      <c r="C129" s="333"/>
      <c r="D129" s="310"/>
      <c r="E129" s="314"/>
      <c r="F129" s="334"/>
      <c r="G129" s="334"/>
      <c r="H129" s="334"/>
      <c r="I129" s="334"/>
    </row>
    <row r="130" spans="3:25" hidden="1">
      <c r="C130" s="335" t="s">
        <v>344</v>
      </c>
      <c r="D130" s="336">
        <f t="shared" si="38"/>
        <v>0</v>
      </c>
      <c r="E130" s="337">
        <f t="shared" ref="E130" si="39">+PRODUCT(F130:I130)</f>
        <v>0</v>
      </c>
      <c r="F130" s="338">
        <v>0</v>
      </c>
      <c r="G130" s="338">
        <v>0.3</v>
      </c>
      <c r="H130" s="338">
        <v>0.3</v>
      </c>
      <c r="I130" s="339">
        <v>0.7</v>
      </c>
    </row>
    <row r="131" spans="3:25" hidden="1">
      <c r="C131" s="333"/>
      <c r="D131" s="310"/>
      <c r="E131" s="314"/>
      <c r="F131" s="334"/>
      <c r="G131" s="334"/>
      <c r="H131" s="334"/>
      <c r="I131" s="334"/>
    </row>
    <row r="132" spans="3:25" hidden="1">
      <c r="C132" s="335" t="s">
        <v>345</v>
      </c>
      <c r="D132" s="336">
        <f t="shared" si="38"/>
        <v>0.28352873698647885</v>
      </c>
      <c r="E132" s="319">
        <f>F132*PI()*G132^2*I132</f>
        <v>0.28352873698647885</v>
      </c>
      <c r="F132" s="338">
        <f>+F121</f>
        <v>1</v>
      </c>
      <c r="G132" s="338">
        <f>+G121</f>
        <v>0.95</v>
      </c>
      <c r="H132" s="338">
        <f>+H121</f>
        <v>0</v>
      </c>
      <c r="I132" s="339">
        <v>0.1</v>
      </c>
    </row>
    <row r="133" spans="3:25" hidden="1">
      <c r="C133" s="333"/>
      <c r="D133" s="340"/>
      <c r="F133" s="334"/>
      <c r="G133" s="334"/>
      <c r="H133" s="334"/>
      <c r="I133" s="334"/>
      <c r="K133" s="311" t="s">
        <v>346</v>
      </c>
      <c r="L133" s="309" t="s">
        <v>336</v>
      </c>
      <c r="M133" s="312" t="s">
        <v>347</v>
      </c>
      <c r="N133" s="309" t="s">
        <v>227</v>
      </c>
      <c r="O133" s="309" t="s">
        <v>348</v>
      </c>
      <c r="P133" s="309" t="s">
        <v>349</v>
      </c>
      <c r="Q133" s="309" t="s">
        <v>350</v>
      </c>
    </row>
    <row r="134" spans="3:25" hidden="1">
      <c r="C134" s="317" t="s">
        <v>351</v>
      </c>
      <c r="D134" s="341">
        <f t="shared" si="38"/>
        <v>9.9839999999999998E-2</v>
      </c>
      <c r="E134" s="319">
        <f t="shared" ref="E134:E136" si="40">+PRODUCT(F134:I134)</f>
        <v>9.9839999999999998E-2</v>
      </c>
      <c r="F134" s="320">
        <v>1</v>
      </c>
      <c r="G134" s="342">
        <v>0.52</v>
      </c>
      <c r="H134" s="320">
        <v>0.4</v>
      </c>
      <c r="I134" s="321">
        <v>0.48</v>
      </c>
      <c r="K134" s="312" t="s">
        <v>352</v>
      </c>
      <c r="L134" s="312">
        <f>+G134+0.3*2-0.08</f>
        <v>1.04</v>
      </c>
      <c r="M134" s="351">
        <v>2.4</v>
      </c>
      <c r="N134" s="312">
        <f>ROUND((G134-0.08)/0.15+1,0)</f>
        <v>4</v>
      </c>
      <c r="O134" s="343">
        <v>0.375</v>
      </c>
      <c r="P134" s="312">
        <v>0.56000000000000005</v>
      </c>
      <c r="Q134" s="313">
        <f>+L134*M134*N134*P134</f>
        <v>5.5910400000000005</v>
      </c>
    </row>
    <row r="135" spans="3:25" hidden="1">
      <c r="C135" s="322" t="s">
        <v>353</v>
      </c>
      <c r="D135" s="344">
        <f t="shared" si="38"/>
        <v>1.0752000000000002</v>
      </c>
      <c r="E135" s="324">
        <f t="shared" si="40"/>
        <v>1.0752000000000002</v>
      </c>
      <c r="F135" s="325">
        <v>1</v>
      </c>
      <c r="G135" s="325">
        <f>0.37*2+0.4+0.15*2+0.4*2</f>
        <v>2.2400000000000002</v>
      </c>
      <c r="H135" s="325"/>
      <c r="I135" s="326">
        <v>0.48</v>
      </c>
    </row>
    <row r="136" spans="3:25" hidden="1">
      <c r="C136" s="328" t="s">
        <v>354</v>
      </c>
      <c r="D136" s="345">
        <f t="shared" si="38"/>
        <v>5.5910400000000005</v>
      </c>
      <c r="E136" s="330">
        <f t="shared" si="40"/>
        <v>5.5910400000000005</v>
      </c>
      <c r="F136" s="331">
        <f>+Q134</f>
        <v>5.5910400000000005</v>
      </c>
      <c r="G136" s="331"/>
      <c r="H136" s="331"/>
      <c r="I136" s="332"/>
    </row>
    <row r="137" spans="3:25" hidden="1">
      <c r="C137" s="333"/>
      <c r="D137" s="310"/>
      <c r="E137" s="314"/>
      <c r="F137" s="334"/>
      <c r="G137" s="334"/>
      <c r="H137" s="334"/>
      <c r="I137" s="334"/>
      <c r="K137" s="311" t="s">
        <v>355</v>
      </c>
      <c r="L137" s="309" t="s">
        <v>336</v>
      </c>
      <c r="M137" s="312" t="s">
        <v>347</v>
      </c>
      <c r="N137" s="309" t="s">
        <v>227</v>
      </c>
      <c r="O137" s="309" t="s">
        <v>348</v>
      </c>
      <c r="P137" s="309" t="s">
        <v>349</v>
      </c>
      <c r="Q137" s="309" t="s">
        <v>350</v>
      </c>
    </row>
    <row r="138" spans="3:25" hidden="1">
      <c r="C138" s="317" t="s">
        <v>356</v>
      </c>
      <c r="D138" s="341">
        <f t="shared" si="38"/>
        <v>0.56705747397295769</v>
      </c>
      <c r="E138" s="319">
        <f>I138*F138*PI()*G138^2</f>
        <v>0.56705747397295769</v>
      </c>
      <c r="F138" s="320">
        <v>1</v>
      </c>
      <c r="G138" s="320">
        <f>+E115</f>
        <v>0.95</v>
      </c>
      <c r="H138" s="320">
        <f>+E116</f>
        <v>0</v>
      </c>
      <c r="I138" s="321">
        <f>+H115</f>
        <v>0.2</v>
      </c>
      <c r="K138" s="312" t="s">
        <v>352</v>
      </c>
      <c r="L138" s="312">
        <f>+E115+0.3*2-0.08</f>
        <v>1.4699999999999998</v>
      </c>
      <c r="M138" s="312">
        <v>0</v>
      </c>
      <c r="N138" s="312">
        <f>ROUND((E116-0.08)/0.25+1,0)</f>
        <v>1</v>
      </c>
      <c r="O138" s="343">
        <v>0.375</v>
      </c>
      <c r="P138" s="312">
        <v>0.56000000000000005</v>
      </c>
      <c r="Q138" s="313">
        <f>+L138*M138*N138*P138</f>
        <v>0</v>
      </c>
    </row>
    <row r="139" spans="3:25" hidden="1">
      <c r="C139" s="322" t="s">
        <v>353</v>
      </c>
      <c r="D139" s="344">
        <f t="shared" si="38"/>
        <v>0</v>
      </c>
      <c r="E139" s="324">
        <f t="shared" ref="E139:E140" si="41">+PRODUCT(F139:I139)</f>
        <v>0</v>
      </c>
      <c r="F139" s="325">
        <v>0</v>
      </c>
      <c r="G139" s="325">
        <f>+G138*2+H138*2</f>
        <v>1.9</v>
      </c>
      <c r="H139" s="325"/>
      <c r="I139" s="326">
        <f>+I138</f>
        <v>0.2</v>
      </c>
      <c r="K139" s="312" t="s">
        <v>357</v>
      </c>
      <c r="L139" s="312">
        <f>+E116+0.3*2-0.08</f>
        <v>0.52</v>
      </c>
      <c r="M139" s="312">
        <v>0</v>
      </c>
      <c r="N139" s="312">
        <f>ROUND((E115-0.08)/0.25+1,0)</f>
        <v>4</v>
      </c>
      <c r="O139" s="343">
        <v>0.375</v>
      </c>
      <c r="P139" s="312">
        <v>0.56000000000000005</v>
      </c>
      <c r="Q139" s="313">
        <f>+L139*M139*N139*P139</f>
        <v>0</v>
      </c>
    </row>
    <row r="140" spans="3:25" hidden="1">
      <c r="C140" s="328" t="s">
        <v>354</v>
      </c>
      <c r="D140" s="345">
        <f t="shared" si="38"/>
        <v>0</v>
      </c>
      <c r="E140" s="330">
        <f t="shared" si="41"/>
        <v>0</v>
      </c>
      <c r="F140" s="331">
        <f>+Q140</f>
        <v>0</v>
      </c>
      <c r="G140" s="331"/>
      <c r="H140" s="331"/>
      <c r="I140" s="332"/>
      <c r="Q140" s="310">
        <f>SUM(Q138:Q139)</f>
        <v>0</v>
      </c>
    </row>
    <row r="141" spans="3:25" hidden="1">
      <c r="C141" s="333"/>
      <c r="D141" s="310"/>
      <c r="E141" s="314"/>
      <c r="F141" s="334"/>
      <c r="G141" s="334"/>
      <c r="H141" s="334"/>
      <c r="I141" s="334"/>
    </row>
    <row r="142" spans="3:25" hidden="1">
      <c r="C142" s="317" t="s">
        <v>358</v>
      </c>
      <c r="D142" s="341">
        <f t="shared" si="38"/>
        <v>3.6850881826608273</v>
      </c>
      <c r="E142" s="319">
        <f>+F142*2*PI()*G142*H142*I142</f>
        <v>3.6850881826608273</v>
      </c>
      <c r="F142" s="320">
        <v>1</v>
      </c>
      <c r="G142" s="320">
        <f>+AVERAGE(E115,(E115-H116))</f>
        <v>0.85</v>
      </c>
      <c r="H142" s="320">
        <f>+H116</f>
        <v>0.2</v>
      </c>
      <c r="I142" s="321">
        <f>+E118</f>
        <v>3.45</v>
      </c>
      <c r="K142" s="311" t="s">
        <v>359</v>
      </c>
      <c r="L142" s="309" t="s">
        <v>336</v>
      </c>
      <c r="M142" s="312" t="s">
        <v>360</v>
      </c>
      <c r="N142" s="309" t="s">
        <v>227</v>
      </c>
      <c r="O142" s="309" t="s">
        <v>348</v>
      </c>
      <c r="P142" s="309" t="s">
        <v>349</v>
      </c>
      <c r="Q142" s="309" t="s">
        <v>350</v>
      </c>
      <c r="S142" s="311"/>
      <c r="T142" s="309"/>
      <c r="V142" s="309"/>
      <c r="W142" s="309"/>
      <c r="X142" s="309"/>
      <c r="Y142" s="309"/>
    </row>
    <row r="143" spans="3:25" hidden="1">
      <c r="C143" s="322" t="s">
        <v>353</v>
      </c>
      <c r="D143" s="344">
        <f>+E143+E144</f>
        <v>18.425440913304136</v>
      </c>
      <c r="E143" s="324">
        <f>+F143*2*PI()*G143*I143</f>
        <v>18.425440913304136</v>
      </c>
      <c r="F143" s="325">
        <v>1</v>
      </c>
      <c r="G143" s="325">
        <f>+G142</f>
        <v>0.85</v>
      </c>
      <c r="H143" s="325"/>
      <c r="I143" s="326">
        <f>+I142</f>
        <v>3.45</v>
      </c>
      <c r="K143" s="312" t="s">
        <v>362</v>
      </c>
      <c r="L143" s="313">
        <f>+N128</f>
        <v>5.9690260418206069</v>
      </c>
      <c r="M143" s="312">
        <v>1</v>
      </c>
      <c r="N143" s="312">
        <f>ROUND((E118-0.08)/0.25+1,0)</f>
        <v>14</v>
      </c>
      <c r="O143" s="343">
        <v>0.375</v>
      </c>
      <c r="P143" s="312">
        <v>0.56000000000000005</v>
      </c>
      <c r="Q143" s="313">
        <f t="shared" ref="Q143:Q144" si="42">+L143*M143*N143*P143</f>
        <v>46.797164167873568</v>
      </c>
      <c r="W143" s="343"/>
      <c r="Y143" s="313"/>
    </row>
    <row r="144" spans="3:25" hidden="1">
      <c r="C144" s="322"/>
      <c r="D144" s="344"/>
      <c r="E144" s="324">
        <f t="shared" ref="E144:E145" si="43">+PRODUCT(F144:I144)</f>
        <v>0</v>
      </c>
      <c r="F144" s="325">
        <v>0</v>
      </c>
      <c r="G144" s="325">
        <f>+(E115-2*H116)*2+(E116-2*H116)*2</f>
        <v>0.29999999999999982</v>
      </c>
      <c r="H144" s="325"/>
      <c r="I144" s="326">
        <f>+I143</f>
        <v>3.45</v>
      </c>
      <c r="K144" s="312" t="s">
        <v>363</v>
      </c>
      <c r="L144" s="313">
        <f>+E118+H117+H115+0.6-0.08</f>
        <v>4.37</v>
      </c>
      <c r="M144" s="312">
        <v>1</v>
      </c>
      <c r="N144" s="312">
        <f>ROUND((N128-0.08)/0.25+1,0)</f>
        <v>25</v>
      </c>
      <c r="O144" s="343">
        <v>0.375</v>
      </c>
      <c r="P144" s="312">
        <v>0.56000000000000005</v>
      </c>
      <c r="Q144" s="313">
        <f t="shared" si="42"/>
        <v>61.180000000000007</v>
      </c>
      <c r="W144" s="343"/>
      <c r="Y144" s="313"/>
    </row>
    <row r="145" spans="3:25" hidden="1">
      <c r="C145" s="328" t="s">
        <v>354</v>
      </c>
      <c r="D145" s="345">
        <f t="shared" si="38"/>
        <v>107.97716416787358</v>
      </c>
      <c r="E145" s="330">
        <f t="shared" si="43"/>
        <v>107.97716416787358</v>
      </c>
      <c r="F145" s="331">
        <f>+Q145+Y145</f>
        <v>107.97716416787358</v>
      </c>
      <c r="G145" s="331"/>
      <c r="H145" s="331"/>
      <c r="I145" s="332"/>
      <c r="Q145" s="310">
        <f>SUM(Q143:Q144)</f>
        <v>107.97716416787358</v>
      </c>
      <c r="Y145" s="310"/>
    </row>
    <row r="146" spans="3:25" hidden="1">
      <c r="C146" s="346"/>
      <c r="E146" s="314"/>
      <c r="F146" s="334"/>
      <c r="G146" s="334"/>
      <c r="H146" s="334"/>
      <c r="I146" s="334"/>
    </row>
    <row r="147" spans="3:25" hidden="1">
      <c r="C147" s="317" t="s">
        <v>364</v>
      </c>
      <c r="D147" s="341">
        <f>+E147+E148</f>
        <v>0.19006635554218249</v>
      </c>
      <c r="E147" s="319">
        <f>+E138</f>
        <v>0.56705747397295769</v>
      </c>
      <c r="F147" s="320">
        <v>0</v>
      </c>
      <c r="G147" s="320">
        <f>+G138</f>
        <v>0.95</v>
      </c>
      <c r="H147" s="320"/>
      <c r="I147" s="321">
        <f>+H117</f>
        <v>0.2</v>
      </c>
      <c r="K147" s="311" t="s">
        <v>365</v>
      </c>
      <c r="L147" s="309" t="s">
        <v>377</v>
      </c>
      <c r="M147" s="312" t="s">
        <v>347</v>
      </c>
      <c r="N147" s="309" t="s">
        <v>227</v>
      </c>
      <c r="O147" s="309" t="s">
        <v>348</v>
      </c>
      <c r="P147" s="309" t="s">
        <v>349</v>
      </c>
      <c r="Q147" s="309" t="s">
        <v>350</v>
      </c>
    </row>
    <row r="148" spans="3:25" hidden="1">
      <c r="C148" s="322"/>
      <c r="D148" s="344"/>
      <c r="E148" s="324">
        <f t="shared" ref="E148:E153" si="44">+PRODUCT(F148:I148)</f>
        <v>-0.37699111843077521</v>
      </c>
      <c r="F148" s="325">
        <v>-1</v>
      </c>
      <c r="G148" s="349">
        <f>2*PI()*0.3</f>
        <v>1.8849555921538759</v>
      </c>
      <c r="H148" s="349"/>
      <c r="I148" s="326">
        <f>+I147</f>
        <v>0.2</v>
      </c>
      <c r="K148" s="312" t="s">
        <v>352</v>
      </c>
      <c r="L148" s="350">
        <v>1.05</v>
      </c>
      <c r="M148" s="312">
        <v>1</v>
      </c>
      <c r="N148" s="312">
        <v>13</v>
      </c>
      <c r="O148" s="343">
        <v>0.375</v>
      </c>
      <c r="P148" s="312">
        <v>0.56000000000000005</v>
      </c>
      <c r="Q148" s="313">
        <f>+L148*M148*N148*P148*1.075</f>
        <v>8.2173000000000016</v>
      </c>
    </row>
    <row r="149" spans="3:25" hidden="1">
      <c r="C149" s="322" t="s">
        <v>353</v>
      </c>
      <c r="D149" s="344">
        <f>SUM(E149:E152)</f>
        <v>1.4844025288211773</v>
      </c>
      <c r="E149" s="324">
        <f>+F149*PI()*G149^2</f>
        <v>1.7671458676442586</v>
      </c>
      <c r="F149" s="325">
        <v>1</v>
      </c>
      <c r="G149" s="325">
        <f>+G147-H116</f>
        <v>0.75</v>
      </c>
      <c r="H149" s="325"/>
      <c r="I149" s="326"/>
      <c r="K149" s="312" t="s">
        <v>357</v>
      </c>
      <c r="L149" s="312">
        <v>1.05</v>
      </c>
      <c r="M149" s="312">
        <v>1</v>
      </c>
      <c r="N149" s="312">
        <v>13</v>
      </c>
      <c r="O149" s="343">
        <v>0.375</v>
      </c>
      <c r="P149" s="312">
        <v>0.56000000000000005</v>
      </c>
      <c r="Q149" s="313">
        <f>+L149*M149*N149*P149*1.075</f>
        <v>8.2173000000000016</v>
      </c>
    </row>
    <row r="150" spans="3:25" hidden="1">
      <c r="C150" s="322"/>
      <c r="D150" s="344"/>
      <c r="E150" s="324">
        <f>+F150*PI()*G150^2</f>
        <v>-0.28274333882308139</v>
      </c>
      <c r="F150" s="325">
        <v>-1</v>
      </c>
      <c r="G150" s="325">
        <v>0.3</v>
      </c>
      <c r="H150" s="325"/>
      <c r="I150" s="326"/>
      <c r="L150" s="312">
        <f>+L149</f>
        <v>1.05</v>
      </c>
      <c r="M150" s="312">
        <v>1</v>
      </c>
      <c r="N150" s="312">
        <v>2</v>
      </c>
      <c r="O150" s="343">
        <v>0.5</v>
      </c>
      <c r="P150" s="312">
        <v>0.99</v>
      </c>
      <c r="Q150" s="313">
        <f>+L150*M150*N150*P150*1.075</f>
        <v>2.2349250000000001</v>
      </c>
    </row>
    <row r="151" spans="3:25" hidden="1">
      <c r="C151" s="322"/>
      <c r="D151" s="344"/>
      <c r="E151" s="324">
        <f t="shared" si="44"/>
        <v>0</v>
      </c>
      <c r="F151" s="325">
        <v>1</v>
      </c>
      <c r="G151" s="325">
        <f>+G148*2</f>
        <v>3.7699111843077517</v>
      </c>
      <c r="H151" s="325">
        <f>+H148*2</f>
        <v>0</v>
      </c>
      <c r="I151" s="347">
        <v>0.35</v>
      </c>
      <c r="Q151" s="310">
        <f>SUM(Q148:Q150)</f>
        <v>18.669525000000004</v>
      </c>
    </row>
    <row r="152" spans="3:25" hidden="1">
      <c r="C152" s="322"/>
      <c r="D152" s="344"/>
      <c r="E152" s="324">
        <f t="shared" si="44"/>
        <v>0</v>
      </c>
      <c r="F152" s="325">
        <v>1</v>
      </c>
      <c r="G152" s="325">
        <f>+G151</f>
        <v>3.7699111843077517</v>
      </c>
      <c r="H152" s="325">
        <f>+H151</f>
        <v>0</v>
      </c>
      <c r="I152" s="347">
        <v>0.15</v>
      </c>
    </row>
    <row r="153" spans="3:25" hidden="1">
      <c r="C153" s="328" t="s">
        <v>354</v>
      </c>
      <c r="D153" s="345">
        <f t="shared" si="38"/>
        <v>18.669525000000004</v>
      </c>
      <c r="E153" s="330">
        <f t="shared" si="44"/>
        <v>18.669525000000004</v>
      </c>
      <c r="F153" s="331">
        <f>+Q151</f>
        <v>18.669525000000004</v>
      </c>
      <c r="G153" s="331"/>
      <c r="H153" s="331"/>
      <c r="I153" s="332"/>
    </row>
    <row r="154" spans="3:25" hidden="1">
      <c r="C154" s="346"/>
      <c r="E154" s="314"/>
      <c r="F154" s="334"/>
      <c r="G154" s="334"/>
      <c r="H154" s="334"/>
      <c r="I154" s="334"/>
    </row>
    <row r="155" spans="3:25" hidden="1">
      <c r="C155" s="335" t="s">
        <v>366</v>
      </c>
      <c r="D155" s="336">
        <f t="shared" si="38"/>
        <v>16.257741982327179</v>
      </c>
      <c r="E155" s="337">
        <f>+F155*2*PI()*G155*I155</f>
        <v>16.257741982327179</v>
      </c>
      <c r="F155" s="338">
        <v>1</v>
      </c>
      <c r="G155" s="338">
        <f>+G149</f>
        <v>0.75</v>
      </c>
      <c r="H155" s="338"/>
      <c r="I155" s="339">
        <f>+I142</f>
        <v>3.45</v>
      </c>
    </row>
    <row r="156" spans="3:25" hidden="1">
      <c r="C156" s="346"/>
      <c r="E156" s="314"/>
      <c r="F156" s="334"/>
      <c r="G156" s="334"/>
      <c r="H156" s="334"/>
      <c r="I156" s="334"/>
    </row>
    <row r="157" spans="3:25" hidden="1">
      <c r="C157" s="335" t="s">
        <v>367</v>
      </c>
      <c r="D157" s="336">
        <f t="shared" si="38"/>
        <v>4.7123889803846897</v>
      </c>
      <c r="E157" s="337">
        <f>+F157*2*PI()*G157</f>
        <v>4.7123889803846897</v>
      </c>
      <c r="F157" s="338">
        <v>1</v>
      </c>
      <c r="G157" s="338">
        <f>+G155</f>
        <v>0.75</v>
      </c>
      <c r="H157" s="338"/>
      <c r="I157" s="339"/>
    </row>
    <row r="158" spans="3:25" hidden="1">
      <c r="C158" s="346"/>
      <c r="E158" s="314"/>
      <c r="F158" s="334"/>
      <c r="G158" s="334"/>
      <c r="H158" s="334"/>
      <c r="I158" s="334"/>
    </row>
    <row r="159" spans="3:25" hidden="1">
      <c r="C159" s="335" t="s">
        <v>368</v>
      </c>
      <c r="D159" s="336">
        <f t="shared" si="38"/>
        <v>3.45</v>
      </c>
      <c r="E159" s="337">
        <f t="shared" ref="E159" si="45">+PRODUCT(F159:I159)</f>
        <v>3.45</v>
      </c>
      <c r="F159" s="338">
        <v>1</v>
      </c>
      <c r="G159" s="338">
        <f>+E118</f>
        <v>3.45</v>
      </c>
      <c r="H159" s="338"/>
      <c r="I159" s="339"/>
    </row>
    <row r="160" spans="3:25" hidden="1">
      <c r="C160" s="346"/>
      <c r="E160" s="314"/>
      <c r="F160" s="334"/>
      <c r="G160" s="334"/>
      <c r="H160" s="334"/>
      <c r="I160" s="334"/>
    </row>
    <row r="161" spans="3:9" hidden="1">
      <c r="C161" s="335" t="s">
        <v>369</v>
      </c>
      <c r="D161" s="336">
        <f t="shared" si="38"/>
        <v>1</v>
      </c>
      <c r="E161" s="337">
        <f t="shared" ref="E161" si="46">+PRODUCT(F161:I161)</f>
        <v>1</v>
      </c>
      <c r="F161" s="338">
        <v>1</v>
      </c>
      <c r="G161" s="348">
        <v>1</v>
      </c>
      <c r="H161" s="338"/>
      <c r="I161" s="339"/>
    </row>
    <row r="162" spans="3:9" hidden="1">
      <c r="C162" s="346"/>
      <c r="E162" s="314"/>
      <c r="F162" s="334"/>
      <c r="G162" s="334"/>
      <c r="H162" s="334"/>
      <c r="I162" s="334"/>
    </row>
    <row r="163" spans="3:9" hidden="1">
      <c r="C163" s="335" t="s">
        <v>370</v>
      </c>
      <c r="D163" s="336">
        <f t="shared" si="38"/>
        <v>1</v>
      </c>
      <c r="E163" s="337">
        <f t="shared" ref="E163" si="47">+PRODUCT(F163:I163)</f>
        <v>1</v>
      </c>
      <c r="F163" s="338">
        <v>1</v>
      </c>
      <c r="G163" s="348">
        <v>1</v>
      </c>
      <c r="H163" s="338"/>
      <c r="I163" s="339"/>
    </row>
    <row r="164" spans="3:9" hidden="1"/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rowBreaks count="1" manualBreakCount="1">
    <brk id="60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2:J914"/>
  <sheetViews>
    <sheetView showGridLines="0" showZeros="0" tabSelected="1" view="pageBreakPreview" topLeftCell="A643" zoomScale="85" zoomScaleNormal="100" zoomScaleSheetLayoutView="85" workbookViewId="0">
      <selection activeCell="D632" sqref="D632"/>
    </sheetView>
  </sheetViews>
  <sheetFormatPr baseColWidth="10" defaultColWidth="11.44140625" defaultRowHeight="14.4"/>
  <cols>
    <col min="1" max="1" width="6.88671875" style="365" customWidth="1"/>
    <col min="2" max="2" width="2" style="364" customWidth="1"/>
    <col min="3" max="3" width="15.5546875" style="364" bestFit="1" customWidth="1"/>
    <col min="4" max="4" width="63.44140625" style="364" customWidth="1"/>
    <col min="5" max="5" width="9" style="365" customWidth="1"/>
    <col min="6" max="6" width="11.44140625" style="365"/>
    <col min="7" max="7" width="1.88671875" style="364" customWidth="1"/>
    <col min="8" max="16384" width="11.44140625" style="364"/>
  </cols>
  <sheetData>
    <row r="2" spans="2:10" ht="9.75" customHeight="1" thickBot="1"/>
    <row r="3" spans="2:10" ht="25.5" customHeight="1">
      <c r="C3" s="707" t="s">
        <v>122</v>
      </c>
      <c r="D3" s="708"/>
      <c r="E3" s="708"/>
      <c r="F3" s="709"/>
    </row>
    <row r="4" spans="2:10" ht="47.25" customHeight="1">
      <c r="C4" s="12" t="s">
        <v>123</v>
      </c>
      <c r="D4" s="710" t="s">
        <v>263</v>
      </c>
      <c r="E4" s="711"/>
      <c r="F4" s="712"/>
      <c r="I4" s="366" t="str">
        <f>+D4</f>
        <v>"CAMBIO DE LINEAS DE  IMPULSION DE AGUA POTABLE EN EL DISTRITO DE LA MOLINA"</v>
      </c>
      <c r="J4" s="366"/>
    </row>
    <row r="5" spans="2:10" ht="24.75" customHeight="1">
      <c r="C5" s="13" t="s">
        <v>131</v>
      </c>
      <c r="D5" s="704" t="s">
        <v>264</v>
      </c>
      <c r="E5" s="705"/>
      <c r="F5" s="706"/>
      <c r="I5" s="366" t="str">
        <f t="shared" ref="I5:I7" si="0">+D5</f>
        <v>LÍNEAS DE IMPULSIÓN</v>
      </c>
      <c r="J5" s="366"/>
    </row>
    <row r="6" spans="2:10" ht="24.75" customHeight="1">
      <c r="C6" s="13" t="s">
        <v>125</v>
      </c>
      <c r="D6" s="704" t="s">
        <v>126</v>
      </c>
      <c r="E6" s="705"/>
      <c r="F6" s="706"/>
      <c r="I6" s="366" t="str">
        <f t="shared" si="0"/>
        <v>SEDAPAL</v>
      </c>
      <c r="J6" s="366"/>
    </row>
    <row r="7" spans="2:10" ht="24.75" customHeight="1">
      <c r="C7" s="13" t="s">
        <v>127</v>
      </c>
      <c r="D7" s="704" t="s">
        <v>265</v>
      </c>
      <c r="E7" s="705"/>
      <c r="F7" s="706"/>
      <c r="I7" s="366" t="str">
        <f t="shared" si="0"/>
        <v>LIMA - LIMA - LA MOLINA</v>
      </c>
      <c r="J7" s="366"/>
    </row>
    <row r="8" spans="2:10" ht="24.75" customHeight="1" thickBot="1">
      <c r="C8" s="14" t="s">
        <v>129</v>
      </c>
      <c r="D8" s="367" t="s">
        <v>266</v>
      </c>
      <c r="E8" s="16"/>
      <c r="F8" s="17"/>
      <c r="I8" s="366" t="str">
        <f>+D8</f>
        <v>-</v>
      </c>
      <c r="J8" s="366"/>
    </row>
    <row r="9" spans="2:10" ht="4.5" customHeight="1" thickBot="1">
      <c r="C9" s="18"/>
      <c r="D9" s="19"/>
      <c r="E9" s="20"/>
      <c r="F9" s="20"/>
    </row>
    <row r="10" spans="2:10" ht="23.25" customHeight="1">
      <c r="C10" s="160" t="s">
        <v>0</v>
      </c>
      <c r="D10" s="161" t="s">
        <v>112</v>
      </c>
      <c r="E10" s="162" t="s">
        <v>113</v>
      </c>
      <c r="F10" s="163" t="s">
        <v>114</v>
      </c>
      <c r="G10" s="365"/>
      <c r="J10" s="380"/>
    </row>
    <row r="11" spans="2:10" ht="28.5" hidden="1" customHeight="1">
      <c r="B11" s="581"/>
      <c r="C11" s="591" t="s">
        <v>391</v>
      </c>
      <c r="D11" s="592" t="s">
        <v>392</v>
      </c>
      <c r="E11" s="593" t="s">
        <v>156</v>
      </c>
      <c r="F11" s="594"/>
      <c r="G11" s="3"/>
    </row>
    <row r="12" spans="2:10" ht="28.5" hidden="1" customHeight="1">
      <c r="B12" s="582"/>
      <c r="C12" s="500" t="s">
        <v>393</v>
      </c>
      <c r="D12" s="520" t="s">
        <v>1220</v>
      </c>
      <c r="E12" s="501" t="s">
        <v>156</v>
      </c>
      <c r="F12" s="595"/>
      <c r="G12" s="3"/>
    </row>
    <row r="13" spans="2:10" ht="28.5" hidden="1" customHeight="1">
      <c r="B13" s="583"/>
      <c r="C13" s="502" t="s">
        <v>394</v>
      </c>
      <c r="D13" s="515" t="s">
        <v>395</v>
      </c>
      <c r="E13" s="503" t="s">
        <v>163</v>
      </c>
      <c r="F13" s="596">
        <v>1</v>
      </c>
      <c r="G13" s="3"/>
      <c r="H13" s="360"/>
      <c r="I13" s="360"/>
      <c r="J13" s="379"/>
    </row>
    <row r="14" spans="2:10" ht="28.5" hidden="1" customHeight="1">
      <c r="B14" s="583"/>
      <c r="C14" s="502" t="s">
        <v>396</v>
      </c>
      <c r="D14" s="515" t="s">
        <v>397</v>
      </c>
      <c r="E14" s="503" t="s">
        <v>163</v>
      </c>
      <c r="F14" s="596">
        <v>1</v>
      </c>
      <c r="G14" s="3"/>
      <c r="H14" s="360"/>
      <c r="I14" s="360"/>
      <c r="J14" s="379"/>
    </row>
    <row r="15" spans="2:10" ht="28.5" hidden="1" customHeight="1">
      <c r="B15" s="583"/>
      <c r="C15" s="502" t="s">
        <v>398</v>
      </c>
      <c r="D15" s="515" t="s">
        <v>170</v>
      </c>
      <c r="E15" s="503" t="s">
        <v>163</v>
      </c>
      <c r="F15" s="596">
        <v>1</v>
      </c>
      <c r="G15" s="3"/>
      <c r="H15" s="360"/>
      <c r="I15" s="360"/>
      <c r="J15" s="379"/>
    </row>
    <row r="16" spans="2:10" ht="28.5" hidden="1" customHeight="1">
      <c r="B16" s="583"/>
      <c r="C16" s="502" t="s">
        <v>399</v>
      </c>
      <c r="D16" s="515" t="s">
        <v>400</v>
      </c>
      <c r="E16" s="503" t="s">
        <v>402</v>
      </c>
      <c r="F16" s="596">
        <v>1</v>
      </c>
      <c r="G16" s="3"/>
      <c r="H16" s="360"/>
      <c r="I16" s="360"/>
      <c r="J16" s="379"/>
    </row>
    <row r="17" spans="2:10" ht="28.5" hidden="1" customHeight="1">
      <c r="B17" s="583"/>
      <c r="C17" s="502" t="s">
        <v>401</v>
      </c>
      <c r="D17" s="587" t="s">
        <v>1221</v>
      </c>
      <c r="E17" s="503" t="s">
        <v>402</v>
      </c>
      <c r="F17" s="596">
        <v>1</v>
      </c>
      <c r="G17" s="3"/>
      <c r="H17" s="360"/>
      <c r="I17" s="360"/>
      <c r="J17" s="379"/>
    </row>
    <row r="18" spans="2:10" ht="28.5" hidden="1" customHeight="1">
      <c r="B18" s="584"/>
      <c r="C18" s="500" t="s">
        <v>404</v>
      </c>
      <c r="D18" s="589" t="s">
        <v>1222</v>
      </c>
      <c r="E18" s="501" t="s">
        <v>156</v>
      </c>
      <c r="F18" s="595"/>
      <c r="G18" s="3"/>
      <c r="H18" s="359"/>
      <c r="I18" s="360"/>
      <c r="J18" s="379"/>
    </row>
    <row r="19" spans="2:10" ht="28.5" hidden="1" customHeight="1">
      <c r="B19" s="583"/>
      <c r="C19" s="504" t="s">
        <v>405</v>
      </c>
      <c r="D19" s="521" t="s">
        <v>173</v>
      </c>
      <c r="E19" s="505" t="s">
        <v>156</v>
      </c>
      <c r="F19" s="597"/>
      <c r="G19" s="3"/>
      <c r="H19" s="361"/>
      <c r="I19" s="360"/>
      <c r="J19" s="379"/>
    </row>
    <row r="20" spans="2:10" ht="28.5" hidden="1" customHeight="1">
      <c r="B20" s="583"/>
      <c r="C20" s="502" t="s">
        <v>406</v>
      </c>
      <c r="D20" s="515" t="s">
        <v>157</v>
      </c>
      <c r="E20" s="503" t="s">
        <v>158</v>
      </c>
      <c r="F20" s="596">
        <f>('F-1'!L54+'F-1'!L31)/1000</f>
        <v>1.8146200000000003</v>
      </c>
      <c r="G20" s="3"/>
      <c r="H20" s="360"/>
      <c r="I20" s="360"/>
      <c r="J20" s="379"/>
    </row>
    <row r="21" spans="2:10" ht="28.5" hidden="1" customHeight="1">
      <c r="B21" s="583"/>
      <c r="C21" s="502" t="s">
        <v>407</v>
      </c>
      <c r="D21" s="515" t="s">
        <v>159</v>
      </c>
      <c r="E21" s="503" t="s">
        <v>158</v>
      </c>
      <c r="F21" s="596">
        <f>+F20</f>
        <v>1.8146200000000003</v>
      </c>
      <c r="G21" s="3"/>
      <c r="H21" s="360"/>
      <c r="I21" s="360"/>
      <c r="J21" s="379"/>
    </row>
    <row r="22" spans="2:10" ht="28.5" hidden="1" customHeight="1">
      <c r="B22" s="583"/>
      <c r="C22" s="502" t="s">
        <v>408</v>
      </c>
      <c r="D22" s="587" t="s">
        <v>1223</v>
      </c>
      <c r="E22" s="503" t="s">
        <v>163</v>
      </c>
      <c r="F22" s="596">
        <v>18</v>
      </c>
      <c r="G22" s="3"/>
      <c r="H22" s="360"/>
      <c r="I22" s="360"/>
      <c r="J22" s="379"/>
    </row>
    <row r="23" spans="2:10" ht="28.5" hidden="1" customHeight="1">
      <c r="B23" s="583"/>
      <c r="C23" s="502" t="s">
        <v>410</v>
      </c>
      <c r="D23" s="587" t="s">
        <v>1224</v>
      </c>
      <c r="E23" s="503" t="s">
        <v>163</v>
      </c>
      <c r="F23" s="596">
        <f>+F22</f>
        <v>18</v>
      </c>
      <c r="G23" s="3"/>
      <c r="H23" s="360"/>
      <c r="I23" s="360"/>
      <c r="J23" s="379"/>
    </row>
    <row r="24" spans="2:10" ht="28.5" hidden="1" customHeight="1">
      <c r="B24" s="583"/>
      <c r="C24" s="502" t="s">
        <v>411</v>
      </c>
      <c r="D24" s="587" t="s">
        <v>1225</v>
      </c>
      <c r="E24" s="503" t="s">
        <v>163</v>
      </c>
      <c r="F24" s="596">
        <v>6</v>
      </c>
      <c r="G24" s="3"/>
      <c r="H24" s="360"/>
      <c r="I24" s="360"/>
      <c r="J24" s="379"/>
    </row>
    <row r="25" spans="2:10" ht="28.5" hidden="1" customHeight="1">
      <c r="B25" s="583"/>
      <c r="C25" s="502" t="s">
        <v>412</v>
      </c>
      <c r="D25" s="587" t="s">
        <v>1226</v>
      </c>
      <c r="E25" s="503" t="s">
        <v>163</v>
      </c>
      <c r="F25" s="596">
        <v>12</v>
      </c>
      <c r="G25" s="3"/>
      <c r="H25" s="360"/>
      <c r="I25" s="360"/>
      <c r="J25" s="379"/>
    </row>
    <row r="26" spans="2:10" ht="28.5" hidden="1" customHeight="1">
      <c r="B26" s="583"/>
      <c r="C26" s="502" t="s">
        <v>413</v>
      </c>
      <c r="D26" s="587" t="s">
        <v>1227</v>
      </c>
      <c r="E26" s="503" t="s">
        <v>163</v>
      </c>
      <c r="F26" s="596">
        <v>8</v>
      </c>
      <c r="G26" s="3"/>
      <c r="H26" s="360"/>
      <c r="I26" s="360"/>
      <c r="J26" s="379"/>
    </row>
    <row r="27" spans="2:10" ht="28.5" hidden="1" customHeight="1">
      <c r="B27" s="583"/>
      <c r="C27" s="502" t="s">
        <v>415</v>
      </c>
      <c r="D27" s="515" t="s">
        <v>409</v>
      </c>
      <c r="E27" s="503" t="s">
        <v>161</v>
      </c>
      <c r="F27" s="596">
        <f>+F29*2</f>
        <v>3629.2400000000007</v>
      </c>
      <c r="G27" s="3"/>
      <c r="H27" s="360"/>
      <c r="I27" s="360"/>
      <c r="J27" s="379"/>
    </row>
    <row r="28" spans="2:10" ht="28.5" hidden="1" customHeight="1">
      <c r="B28" s="583"/>
      <c r="C28" s="502" t="s">
        <v>417</v>
      </c>
      <c r="D28" s="515" t="s">
        <v>162</v>
      </c>
      <c r="E28" s="503" t="s">
        <v>161</v>
      </c>
      <c r="F28" s="596">
        <f>+F29*2</f>
        <v>3629.2400000000007</v>
      </c>
      <c r="G28" s="3"/>
      <c r="H28" s="360"/>
      <c r="I28" s="360"/>
      <c r="J28" s="379"/>
    </row>
    <row r="29" spans="2:10" ht="28.5" hidden="1" customHeight="1">
      <c r="B29" s="583"/>
      <c r="C29" s="502" t="s">
        <v>419</v>
      </c>
      <c r="D29" s="515" t="s">
        <v>160</v>
      </c>
      <c r="E29" s="503" t="s">
        <v>161</v>
      </c>
      <c r="F29" s="596">
        <f>+'F-1'!L31+'F-1'!L54</f>
        <v>1814.6200000000003</v>
      </c>
      <c r="G29" s="3"/>
      <c r="H29" s="360"/>
      <c r="I29" s="360"/>
      <c r="J29" s="379"/>
    </row>
    <row r="30" spans="2:10" ht="28.5" hidden="1" customHeight="1">
      <c r="B30" s="583"/>
      <c r="C30" s="502" t="s">
        <v>421</v>
      </c>
      <c r="D30" s="515" t="s">
        <v>1352</v>
      </c>
      <c r="E30" s="503" t="s">
        <v>161</v>
      </c>
      <c r="F30" s="596">
        <f>+Mejoramientos!K14</f>
        <v>297.44</v>
      </c>
      <c r="G30" s="3"/>
      <c r="H30" s="360"/>
      <c r="I30" s="360"/>
      <c r="J30" s="379"/>
    </row>
    <row r="31" spans="2:10" ht="28.5" hidden="1" customHeight="1">
      <c r="B31" s="583"/>
      <c r="C31" s="502" t="s">
        <v>423</v>
      </c>
      <c r="D31" s="515" t="s">
        <v>414</v>
      </c>
      <c r="E31" s="503" t="s">
        <v>163</v>
      </c>
      <c r="F31" s="596">
        <f>+Mejoramientos!K18</f>
        <v>13</v>
      </c>
      <c r="G31" s="3"/>
      <c r="H31" s="360"/>
      <c r="I31" s="360"/>
      <c r="J31" s="379"/>
    </row>
    <row r="32" spans="2:10" ht="28.5" hidden="1" customHeight="1">
      <c r="B32" s="583"/>
      <c r="C32" s="502" t="s">
        <v>425</v>
      </c>
      <c r="D32" s="515" t="s">
        <v>416</v>
      </c>
      <c r="E32" s="503" t="s">
        <v>163</v>
      </c>
      <c r="F32" s="596">
        <f>+Mejoramientos!K19</f>
        <v>14</v>
      </c>
      <c r="G32" s="3"/>
      <c r="H32" s="360"/>
      <c r="I32" s="360"/>
      <c r="J32" s="379"/>
    </row>
    <row r="33" spans="2:10" ht="28.5" hidden="1" customHeight="1">
      <c r="B33" s="583"/>
      <c r="C33" s="502" t="s">
        <v>427</v>
      </c>
      <c r="D33" s="515" t="s">
        <v>418</v>
      </c>
      <c r="E33" s="503" t="s">
        <v>163</v>
      </c>
      <c r="F33" s="596">
        <f>+Mejoramientos!K20</f>
        <v>7</v>
      </c>
      <c r="G33" s="3"/>
      <c r="H33" s="360"/>
      <c r="I33" s="360"/>
      <c r="J33" s="379"/>
    </row>
    <row r="34" spans="2:10" ht="28.5" hidden="1" customHeight="1">
      <c r="B34" s="583"/>
      <c r="C34" s="502" t="s">
        <v>1228</v>
      </c>
      <c r="D34" s="515" t="s">
        <v>420</v>
      </c>
      <c r="E34" s="503" t="s">
        <v>163</v>
      </c>
      <c r="F34" s="596">
        <f>+Mejoramientos!K21</f>
        <v>75</v>
      </c>
      <c r="G34" s="3"/>
      <c r="H34" s="361"/>
      <c r="I34" s="360"/>
      <c r="J34" s="379"/>
    </row>
    <row r="35" spans="2:10" ht="28.5" hidden="1" customHeight="1">
      <c r="B35" s="583"/>
      <c r="C35" s="502" t="s">
        <v>1229</v>
      </c>
      <c r="D35" s="515" t="s">
        <v>422</v>
      </c>
      <c r="E35" s="503" t="s">
        <v>163</v>
      </c>
      <c r="F35" s="596">
        <f>+Mejoramientos!K22</f>
        <v>44</v>
      </c>
      <c r="G35" s="3"/>
      <c r="H35" s="360"/>
      <c r="I35" s="360"/>
      <c r="J35" s="379"/>
    </row>
    <row r="36" spans="2:10" ht="28.5" hidden="1" customHeight="1">
      <c r="B36" s="583"/>
      <c r="C36" s="502" t="s">
        <v>1230</v>
      </c>
      <c r="D36" s="587" t="s">
        <v>1231</v>
      </c>
      <c r="E36" s="503" t="s">
        <v>163</v>
      </c>
      <c r="F36" s="596">
        <f>+Mejoramientos!K23</f>
        <v>2</v>
      </c>
      <c r="G36" s="3"/>
      <c r="H36" s="360"/>
      <c r="I36" s="360"/>
      <c r="J36" s="379"/>
    </row>
    <row r="37" spans="2:10" ht="28.5" hidden="1" customHeight="1">
      <c r="B37" s="583"/>
      <c r="C37" s="502" t="s">
        <v>1232</v>
      </c>
      <c r="D37" s="515" t="s">
        <v>426</v>
      </c>
      <c r="E37" s="503" t="s">
        <v>163</v>
      </c>
      <c r="F37" s="596">
        <f>+Mejoramientos!K24</f>
        <v>3</v>
      </c>
      <c r="G37" s="3"/>
      <c r="H37" s="360"/>
      <c r="I37" s="360"/>
      <c r="J37" s="379"/>
    </row>
    <row r="38" spans="2:10" ht="28.5" hidden="1" customHeight="1">
      <c r="B38" s="584"/>
      <c r="C38" s="502" t="s">
        <v>1233</v>
      </c>
      <c r="D38" s="515" t="s">
        <v>428</v>
      </c>
      <c r="E38" s="503" t="s">
        <v>163</v>
      </c>
      <c r="F38" s="596">
        <f>+Mejoramientos!K25</f>
        <v>39</v>
      </c>
      <c r="G38" s="3"/>
      <c r="H38" s="360"/>
      <c r="I38" s="360"/>
      <c r="J38" s="379"/>
    </row>
    <row r="39" spans="2:10" ht="28.5" hidden="1" customHeight="1">
      <c r="B39" s="583"/>
      <c r="C39" s="504" t="s">
        <v>429</v>
      </c>
      <c r="D39" s="521" t="s">
        <v>164</v>
      </c>
      <c r="E39" s="505" t="s">
        <v>156</v>
      </c>
      <c r="F39" s="597"/>
      <c r="G39" s="3"/>
      <c r="H39" s="360"/>
      <c r="I39" s="360"/>
      <c r="J39" s="379"/>
    </row>
    <row r="40" spans="2:10" ht="28.5" hidden="1" customHeight="1">
      <c r="B40" s="583"/>
      <c r="C40" s="502" t="s">
        <v>430</v>
      </c>
      <c r="D40" s="515" t="s">
        <v>1353</v>
      </c>
      <c r="E40" s="503" t="s">
        <v>161</v>
      </c>
      <c r="F40" s="596">
        <f>+'F-1'!Z57</f>
        <v>3.21</v>
      </c>
      <c r="G40" s="3"/>
      <c r="H40" s="360"/>
      <c r="I40" s="360"/>
      <c r="J40" s="379"/>
    </row>
    <row r="41" spans="2:10" ht="28.5" hidden="1" customHeight="1">
      <c r="B41" s="583"/>
      <c r="C41" s="502" t="s">
        <v>432</v>
      </c>
      <c r="D41" s="515" t="s">
        <v>924</v>
      </c>
      <c r="E41" s="503" t="s">
        <v>161</v>
      </c>
      <c r="F41" s="596">
        <f>+'F-1'!AD57</f>
        <v>1032.26</v>
      </c>
      <c r="G41" s="3"/>
      <c r="H41" s="360"/>
      <c r="I41" s="360"/>
      <c r="J41" s="379"/>
    </row>
    <row r="42" spans="2:10" ht="28.5" hidden="1" customHeight="1">
      <c r="B42" s="583"/>
      <c r="C42" s="502" t="s">
        <v>433</v>
      </c>
      <c r="D42" s="515" t="s">
        <v>1354</v>
      </c>
      <c r="E42" s="503" t="s">
        <v>161</v>
      </c>
      <c r="F42" s="596">
        <f>+'F-1'!AE57</f>
        <v>470.63</v>
      </c>
      <c r="G42" s="3"/>
      <c r="H42" s="360"/>
      <c r="I42" s="360"/>
      <c r="J42" s="379"/>
    </row>
    <row r="43" spans="2:10" ht="28.5" hidden="1" customHeight="1">
      <c r="B43" s="583"/>
      <c r="C43" s="502" t="s">
        <v>434</v>
      </c>
      <c r="D43" s="515" t="s">
        <v>435</v>
      </c>
      <c r="E43" s="503" t="s">
        <v>161</v>
      </c>
      <c r="F43" s="596">
        <f>+'F-1'!AS57+'F-1'!AT57</f>
        <v>94.26</v>
      </c>
      <c r="G43" s="3"/>
      <c r="H43" s="360"/>
      <c r="I43" s="360"/>
      <c r="J43" s="379"/>
    </row>
    <row r="44" spans="2:10" ht="28.5" hidden="1" customHeight="1">
      <c r="B44" s="583"/>
      <c r="C44" s="502" t="s">
        <v>436</v>
      </c>
      <c r="D44" s="515" t="s">
        <v>437</v>
      </c>
      <c r="E44" s="503" t="s">
        <v>161</v>
      </c>
      <c r="F44" s="596">
        <f>+'F-1'!AU57</f>
        <v>68.789999999999992</v>
      </c>
      <c r="G44" s="3"/>
      <c r="H44" s="360"/>
      <c r="I44" s="360"/>
      <c r="J44" s="379"/>
    </row>
    <row r="45" spans="2:10" ht="28.5" hidden="1" customHeight="1">
      <c r="B45" s="583"/>
      <c r="C45" s="502" t="s">
        <v>438</v>
      </c>
      <c r="D45" s="515" t="s">
        <v>439</v>
      </c>
      <c r="E45" s="503" t="s">
        <v>161</v>
      </c>
      <c r="F45" s="596">
        <f>+'F-1'!AW57</f>
        <v>7.2</v>
      </c>
      <c r="G45" s="3"/>
      <c r="H45" s="360"/>
      <c r="I45" s="360"/>
      <c r="J45" s="379"/>
    </row>
    <row r="46" spans="2:10" ht="28.5" hidden="1" customHeight="1">
      <c r="B46" s="583"/>
      <c r="C46" s="502" t="s">
        <v>440</v>
      </c>
      <c r="D46" s="515" t="s">
        <v>441</v>
      </c>
      <c r="E46" s="503" t="s">
        <v>161</v>
      </c>
      <c r="F46" s="596">
        <f>+'F-1'!AX57</f>
        <v>131.69</v>
      </c>
      <c r="G46" s="3"/>
      <c r="H46" s="360"/>
      <c r="I46" s="360"/>
      <c r="J46" s="379"/>
    </row>
    <row r="47" spans="2:10" ht="28.5" hidden="1" customHeight="1">
      <c r="B47" s="583"/>
      <c r="C47" s="502" t="s">
        <v>442</v>
      </c>
      <c r="D47" s="515" t="s">
        <v>443</v>
      </c>
      <c r="E47" s="503" t="s">
        <v>161</v>
      </c>
      <c r="F47" s="596">
        <f>+'F-1'!AY57</f>
        <v>1.81</v>
      </c>
      <c r="G47" s="3"/>
      <c r="H47" s="360"/>
      <c r="I47" s="360"/>
      <c r="J47" s="379"/>
    </row>
    <row r="48" spans="2:10" ht="28.5" hidden="1" customHeight="1">
      <c r="B48" s="583"/>
      <c r="C48" s="502" t="s">
        <v>444</v>
      </c>
      <c r="D48" s="515" t="s">
        <v>445</v>
      </c>
      <c r="E48" s="503" t="s">
        <v>161</v>
      </c>
      <c r="F48" s="596">
        <f>+'F-1'!BA57</f>
        <v>4.0199999999999996</v>
      </c>
      <c r="G48" s="3"/>
      <c r="H48" s="360"/>
      <c r="I48" s="360"/>
      <c r="J48" s="379"/>
    </row>
    <row r="49" spans="2:10" ht="28.5" hidden="1" customHeight="1">
      <c r="B49" s="583"/>
      <c r="C49" s="502" t="s">
        <v>446</v>
      </c>
      <c r="D49" s="515" t="s">
        <v>447</v>
      </c>
      <c r="E49" s="503" t="s">
        <v>161</v>
      </c>
      <c r="F49" s="596">
        <f>SUM(F40:F42)</f>
        <v>1506.1</v>
      </c>
      <c r="G49" s="3"/>
      <c r="H49" s="360"/>
      <c r="I49" s="360"/>
      <c r="J49" s="379"/>
    </row>
    <row r="50" spans="2:10" ht="28.5" hidden="1" customHeight="1">
      <c r="B50" s="583"/>
      <c r="C50" s="502" t="s">
        <v>448</v>
      </c>
      <c r="D50" s="515" t="s">
        <v>449</v>
      </c>
      <c r="E50" s="503" t="s">
        <v>161</v>
      </c>
      <c r="F50" s="596">
        <f>SUM(F43:F48)</f>
        <v>307.77</v>
      </c>
      <c r="G50" s="3"/>
      <c r="H50" s="360"/>
      <c r="I50" s="360"/>
      <c r="J50" s="379"/>
    </row>
    <row r="51" spans="2:10" ht="28.5" hidden="1" customHeight="1">
      <c r="B51" s="583"/>
      <c r="C51" s="502" t="s">
        <v>450</v>
      </c>
      <c r="D51" s="515" t="s">
        <v>451</v>
      </c>
      <c r="E51" s="503" t="s">
        <v>161</v>
      </c>
      <c r="F51" s="596">
        <f>+F40</f>
        <v>3.21</v>
      </c>
      <c r="G51" s="3"/>
      <c r="H51" s="360"/>
      <c r="I51" s="360"/>
      <c r="J51" s="379"/>
    </row>
    <row r="52" spans="2:10" ht="28.5" hidden="1" customHeight="1">
      <c r="B52" s="583"/>
      <c r="C52" s="502" t="s">
        <v>452</v>
      </c>
      <c r="D52" s="515" t="s">
        <v>453</v>
      </c>
      <c r="E52" s="503" t="s">
        <v>161</v>
      </c>
      <c r="F52" s="596">
        <f t="shared" ref="F52:F59" si="1">+F41</f>
        <v>1032.26</v>
      </c>
      <c r="G52" s="3"/>
      <c r="H52" s="360"/>
      <c r="I52" s="360"/>
      <c r="J52" s="379"/>
    </row>
    <row r="53" spans="2:10" ht="28.5" hidden="1" customHeight="1">
      <c r="B53" s="583"/>
      <c r="C53" s="502" t="s">
        <v>454</v>
      </c>
      <c r="D53" s="515" t="s">
        <v>455</v>
      </c>
      <c r="E53" s="503" t="s">
        <v>161</v>
      </c>
      <c r="F53" s="596">
        <f t="shared" si="1"/>
        <v>470.63</v>
      </c>
      <c r="G53" s="3"/>
      <c r="H53" s="360"/>
      <c r="I53" s="360"/>
      <c r="J53" s="379"/>
    </row>
    <row r="54" spans="2:10" ht="28.5" hidden="1" customHeight="1">
      <c r="B54" s="583"/>
      <c r="C54" s="502" t="s">
        <v>456</v>
      </c>
      <c r="D54" s="515" t="s">
        <v>457</v>
      </c>
      <c r="E54" s="503" t="s">
        <v>161</v>
      </c>
      <c r="F54" s="596">
        <f t="shared" si="1"/>
        <v>94.26</v>
      </c>
      <c r="G54" s="3"/>
      <c r="H54" s="360"/>
      <c r="I54" s="360"/>
      <c r="J54" s="379"/>
    </row>
    <row r="55" spans="2:10" ht="28.5" hidden="1" customHeight="1">
      <c r="B55" s="583"/>
      <c r="C55" s="502" t="s">
        <v>458</v>
      </c>
      <c r="D55" s="515" t="s">
        <v>459</v>
      </c>
      <c r="E55" s="503" t="s">
        <v>161</v>
      </c>
      <c r="F55" s="596">
        <f t="shared" si="1"/>
        <v>68.789999999999992</v>
      </c>
      <c r="G55" s="3"/>
      <c r="H55" s="360"/>
      <c r="I55" s="360"/>
      <c r="J55" s="379"/>
    </row>
    <row r="56" spans="2:10" ht="28.5" hidden="1" customHeight="1">
      <c r="B56" s="583"/>
      <c r="C56" s="502" t="s">
        <v>460</v>
      </c>
      <c r="D56" s="515" t="s">
        <v>461</v>
      </c>
      <c r="E56" s="503" t="s">
        <v>161</v>
      </c>
      <c r="F56" s="596">
        <f t="shared" si="1"/>
        <v>7.2</v>
      </c>
      <c r="G56" s="3"/>
      <c r="H56" s="360"/>
      <c r="I56" s="360"/>
      <c r="J56" s="379"/>
    </row>
    <row r="57" spans="2:10" ht="28.5" hidden="1" customHeight="1">
      <c r="B57" s="583"/>
      <c r="C57" s="502" t="s">
        <v>462</v>
      </c>
      <c r="D57" s="515" t="s">
        <v>463</v>
      </c>
      <c r="E57" s="503" t="s">
        <v>161</v>
      </c>
      <c r="F57" s="596">
        <f t="shared" si="1"/>
        <v>131.69</v>
      </c>
      <c r="G57" s="3"/>
      <c r="H57" s="360"/>
      <c r="I57" s="360"/>
      <c r="J57" s="379"/>
    </row>
    <row r="58" spans="2:10" ht="28.5" hidden="1" customHeight="1">
      <c r="B58" s="583"/>
      <c r="C58" s="502" t="s">
        <v>464</v>
      </c>
      <c r="D58" s="615" t="s">
        <v>465</v>
      </c>
      <c r="E58" s="503" t="s">
        <v>161</v>
      </c>
      <c r="F58" s="596">
        <f t="shared" si="1"/>
        <v>1.81</v>
      </c>
      <c r="G58" s="3"/>
      <c r="H58" s="360"/>
      <c r="I58" s="360"/>
      <c r="J58" s="379"/>
    </row>
    <row r="59" spans="2:10" ht="28.5" hidden="1" customHeight="1">
      <c r="B59" s="583"/>
      <c r="C59" s="502" t="s">
        <v>466</v>
      </c>
      <c r="D59" s="515" t="s">
        <v>467</v>
      </c>
      <c r="E59" s="503" t="s">
        <v>161</v>
      </c>
      <c r="F59" s="596">
        <f t="shared" si="1"/>
        <v>4.0199999999999996</v>
      </c>
      <c r="G59" s="3"/>
      <c r="H59" s="360"/>
      <c r="I59" s="360"/>
      <c r="J59" s="379"/>
    </row>
    <row r="60" spans="2:10" ht="28.5" hidden="1" customHeight="1">
      <c r="B60" s="583"/>
      <c r="C60" s="502" t="s">
        <v>468</v>
      </c>
      <c r="D60" s="515" t="s">
        <v>469</v>
      </c>
      <c r="E60" s="503" t="s">
        <v>161</v>
      </c>
      <c r="F60" s="596">
        <f>+'F-1'!BE54</f>
        <v>190.12999999999997</v>
      </c>
      <c r="G60" s="3"/>
      <c r="H60" s="360"/>
      <c r="I60" s="360"/>
      <c r="J60" s="379"/>
    </row>
    <row r="61" spans="2:10" ht="28.5" hidden="1" customHeight="1">
      <c r="B61" s="583"/>
      <c r="C61" s="502" t="s">
        <v>470</v>
      </c>
      <c r="D61" s="515" t="s">
        <v>471</v>
      </c>
      <c r="E61" s="503" t="s">
        <v>161</v>
      </c>
      <c r="F61" s="596">
        <f>+F49</f>
        <v>1506.1</v>
      </c>
      <c r="G61" s="3"/>
      <c r="H61" s="360"/>
      <c r="I61" s="360"/>
      <c r="J61" s="379"/>
    </row>
    <row r="62" spans="2:10" ht="28.5" hidden="1" customHeight="1">
      <c r="B62" s="583"/>
      <c r="C62" s="502" t="s">
        <v>472</v>
      </c>
      <c r="D62" s="587" t="s">
        <v>1234</v>
      </c>
      <c r="E62" s="503" t="s">
        <v>161</v>
      </c>
      <c r="F62" s="596">
        <f>+F54</f>
        <v>94.26</v>
      </c>
      <c r="G62" s="3"/>
      <c r="H62" s="360"/>
      <c r="I62" s="360"/>
      <c r="J62" s="379"/>
    </row>
    <row r="63" spans="2:10" ht="28.5" hidden="1" customHeight="1">
      <c r="B63" s="583"/>
      <c r="C63" s="502" t="s">
        <v>474</v>
      </c>
      <c r="D63" s="515" t="s">
        <v>475</v>
      </c>
      <c r="E63" s="503" t="s">
        <v>161</v>
      </c>
      <c r="F63" s="596">
        <f t="shared" ref="F63:F67" si="2">+F55</f>
        <v>68.789999999999992</v>
      </c>
      <c r="G63" s="3"/>
      <c r="H63" s="360"/>
      <c r="I63" s="360"/>
      <c r="J63" s="379"/>
    </row>
    <row r="64" spans="2:10" ht="28.5" hidden="1" customHeight="1">
      <c r="B64" s="583"/>
      <c r="C64" s="502" t="s">
        <v>476</v>
      </c>
      <c r="D64" s="515" t="s">
        <v>477</v>
      </c>
      <c r="E64" s="503" t="s">
        <v>161</v>
      </c>
      <c r="F64" s="596">
        <f t="shared" si="2"/>
        <v>7.2</v>
      </c>
      <c r="G64" s="3"/>
      <c r="H64" s="360"/>
      <c r="I64" s="360"/>
      <c r="J64" s="379"/>
    </row>
    <row r="65" spans="2:10" ht="28.5" hidden="1" customHeight="1">
      <c r="B65" s="583"/>
      <c r="C65" s="502" t="s">
        <v>478</v>
      </c>
      <c r="D65" s="515" t="s">
        <v>479</v>
      </c>
      <c r="E65" s="503" t="s">
        <v>161</v>
      </c>
      <c r="F65" s="596">
        <f t="shared" si="2"/>
        <v>131.69</v>
      </c>
      <c r="G65" s="3"/>
      <c r="H65" s="361"/>
      <c r="I65" s="360"/>
      <c r="J65" s="379"/>
    </row>
    <row r="66" spans="2:10" ht="28.5" hidden="1" customHeight="1">
      <c r="B66" s="583"/>
      <c r="C66" s="502" t="s">
        <v>480</v>
      </c>
      <c r="D66" s="515" t="s">
        <v>481</v>
      </c>
      <c r="E66" s="503" t="s">
        <v>161</v>
      </c>
      <c r="F66" s="596">
        <f t="shared" si="2"/>
        <v>1.81</v>
      </c>
      <c r="G66" s="3"/>
      <c r="H66" s="360"/>
      <c r="I66" s="360"/>
      <c r="J66" s="379"/>
    </row>
    <row r="67" spans="2:10" ht="28.5" hidden="1" customHeight="1">
      <c r="B67" s="583"/>
      <c r="C67" s="502" t="s">
        <v>482</v>
      </c>
      <c r="D67" s="515" t="s">
        <v>483</v>
      </c>
      <c r="E67" s="503" t="s">
        <v>161</v>
      </c>
      <c r="F67" s="596">
        <f t="shared" si="2"/>
        <v>4.0199999999999996</v>
      </c>
      <c r="G67" s="3"/>
      <c r="H67" s="360"/>
      <c r="I67" s="360"/>
      <c r="J67" s="379"/>
    </row>
    <row r="68" spans="2:10" ht="28.5" hidden="1" customHeight="1">
      <c r="B68" s="583"/>
      <c r="C68" s="502" t="s">
        <v>484</v>
      </c>
      <c r="D68" s="515" t="s">
        <v>485</v>
      </c>
      <c r="E68" s="503" t="s">
        <v>161</v>
      </c>
      <c r="F68" s="596">
        <f>+F41</f>
        <v>1032.26</v>
      </c>
      <c r="G68" s="3"/>
      <c r="H68" s="360"/>
      <c r="I68" s="360"/>
      <c r="J68" s="379"/>
    </row>
    <row r="69" spans="2:10" ht="28.5" hidden="1" customHeight="1">
      <c r="B69" s="584"/>
      <c r="C69" s="502" t="s">
        <v>486</v>
      </c>
      <c r="D69" s="515" t="s">
        <v>487</v>
      </c>
      <c r="E69" s="503" t="s">
        <v>161</v>
      </c>
      <c r="F69" s="596">
        <f>+F42</f>
        <v>470.63</v>
      </c>
      <c r="G69" s="3"/>
      <c r="H69" s="360"/>
      <c r="I69" s="360"/>
      <c r="J69" s="379"/>
    </row>
    <row r="70" spans="2:10" ht="28.5" hidden="1" customHeight="1">
      <c r="B70" s="583"/>
      <c r="C70" s="504" t="s">
        <v>488</v>
      </c>
      <c r="D70" s="521" t="s">
        <v>489</v>
      </c>
      <c r="E70" s="505" t="s">
        <v>156</v>
      </c>
      <c r="F70" s="597"/>
      <c r="G70" s="3"/>
      <c r="H70" s="360"/>
      <c r="I70" s="360"/>
      <c r="J70" s="379"/>
    </row>
    <row r="71" spans="2:10" ht="28.5" hidden="1" customHeight="1">
      <c r="B71" s="583"/>
      <c r="C71" s="502" t="s">
        <v>490</v>
      </c>
      <c r="D71" s="515" t="s">
        <v>491</v>
      </c>
      <c r="E71" s="503" t="s">
        <v>161</v>
      </c>
      <c r="F71" s="596">
        <f>+'F-1'!L54</f>
        <v>604.03000000000009</v>
      </c>
      <c r="G71" s="3"/>
      <c r="H71" s="360"/>
      <c r="I71" s="360"/>
      <c r="J71" s="379"/>
    </row>
    <row r="72" spans="2:10" ht="28.5" hidden="1" customHeight="1">
      <c r="B72" s="583"/>
      <c r="C72" s="502" t="s">
        <v>492</v>
      </c>
      <c r="D72" s="515" t="s">
        <v>493</v>
      </c>
      <c r="E72" s="503" t="s">
        <v>161</v>
      </c>
      <c r="F72" s="596">
        <f>+'F-1'!L31</f>
        <v>1210.5900000000001</v>
      </c>
      <c r="G72" s="3"/>
      <c r="H72" s="361"/>
      <c r="I72" s="360"/>
      <c r="J72" s="379"/>
    </row>
    <row r="73" spans="2:10" ht="28.5" hidden="1" customHeight="1">
      <c r="B73" s="583"/>
      <c r="C73" s="502" t="s">
        <v>494</v>
      </c>
      <c r="D73" s="515" t="s">
        <v>495</v>
      </c>
      <c r="E73" s="503" t="s">
        <v>161</v>
      </c>
      <c r="F73" s="596">
        <f>+F71</f>
        <v>604.03000000000009</v>
      </c>
      <c r="G73" s="3"/>
      <c r="H73" s="362"/>
      <c r="I73" s="360"/>
      <c r="J73" s="379"/>
    </row>
    <row r="74" spans="2:10" ht="28.5" hidden="1" customHeight="1">
      <c r="B74" s="583"/>
      <c r="C74" s="502" t="s">
        <v>496</v>
      </c>
      <c r="D74" s="515" t="s">
        <v>497</v>
      </c>
      <c r="E74" s="503" t="s">
        <v>161</v>
      </c>
      <c r="F74" s="596">
        <f>+F72</f>
        <v>1210.5900000000001</v>
      </c>
      <c r="G74" s="3"/>
      <c r="H74" s="360"/>
      <c r="I74" s="360"/>
      <c r="J74" s="379"/>
    </row>
    <row r="75" spans="2:10" ht="28.5" hidden="1" customHeight="1">
      <c r="B75" s="583"/>
      <c r="C75" s="502" t="s">
        <v>498</v>
      </c>
      <c r="D75" s="515" t="s">
        <v>499</v>
      </c>
      <c r="E75" s="503" t="s">
        <v>161</v>
      </c>
      <c r="F75" s="596">
        <f>+F73</f>
        <v>604.03000000000009</v>
      </c>
      <c r="G75" s="3"/>
      <c r="H75" s="360"/>
      <c r="I75" s="360"/>
      <c r="J75" s="379"/>
    </row>
    <row r="76" spans="2:10" ht="28.5" hidden="1" customHeight="1">
      <c r="B76" s="584"/>
      <c r="C76" s="502" t="s">
        <v>500</v>
      </c>
      <c r="D76" s="515" t="s">
        <v>501</v>
      </c>
      <c r="E76" s="503" t="s">
        <v>161</v>
      </c>
      <c r="F76" s="596">
        <f>+F74</f>
        <v>1210.5900000000001</v>
      </c>
      <c r="G76" s="3"/>
      <c r="H76" s="360"/>
      <c r="I76" s="360"/>
      <c r="J76" s="379"/>
    </row>
    <row r="77" spans="2:10" ht="28.5" hidden="1" customHeight="1">
      <c r="B77" s="585"/>
      <c r="C77" s="504" t="s">
        <v>502</v>
      </c>
      <c r="D77" s="521" t="s">
        <v>503</v>
      </c>
      <c r="E77" s="505" t="s">
        <v>156</v>
      </c>
      <c r="F77" s="597"/>
      <c r="G77" s="3"/>
      <c r="H77" s="360"/>
      <c r="I77" s="360"/>
      <c r="J77" s="379"/>
    </row>
    <row r="78" spans="2:10" ht="28.5" hidden="1" customHeight="1">
      <c r="B78" s="583"/>
      <c r="C78" s="506" t="s">
        <v>504</v>
      </c>
      <c r="D78" s="522" t="s">
        <v>505</v>
      </c>
      <c r="E78" s="507" t="s">
        <v>156</v>
      </c>
      <c r="F78" s="598"/>
      <c r="G78" s="3"/>
      <c r="H78" s="360"/>
      <c r="I78" s="360"/>
      <c r="J78" s="379"/>
    </row>
    <row r="79" spans="2:10" ht="28.5" hidden="1" customHeight="1">
      <c r="B79" s="583"/>
      <c r="C79" s="502" t="s">
        <v>506</v>
      </c>
      <c r="D79" s="515" t="s">
        <v>507</v>
      </c>
      <c r="E79" s="503" t="s">
        <v>163</v>
      </c>
      <c r="F79" s="596">
        <f>+Accesorios!K14</f>
        <v>13</v>
      </c>
      <c r="G79" s="3"/>
      <c r="H79" s="360"/>
      <c r="I79" s="360"/>
      <c r="J79" s="379"/>
    </row>
    <row r="80" spans="2:10" ht="28.5" hidden="1" customHeight="1">
      <c r="B80" s="583"/>
      <c r="C80" s="502" t="s">
        <v>508</v>
      </c>
      <c r="D80" s="515" t="s">
        <v>509</v>
      </c>
      <c r="E80" s="503" t="s">
        <v>163</v>
      </c>
      <c r="F80" s="596">
        <f>+Accesorios!K15</f>
        <v>9</v>
      </c>
      <c r="G80" s="3"/>
      <c r="H80" s="360"/>
      <c r="I80" s="360"/>
      <c r="J80" s="379"/>
    </row>
    <row r="81" spans="2:10" ht="28.5" hidden="1" customHeight="1">
      <c r="B81" s="583"/>
      <c r="C81" s="502" t="s">
        <v>510</v>
      </c>
      <c r="D81" s="515" t="s">
        <v>511</v>
      </c>
      <c r="E81" s="503" t="s">
        <v>163</v>
      </c>
      <c r="F81" s="596">
        <f>+Accesorios!K16</f>
        <v>9</v>
      </c>
      <c r="G81" s="3"/>
      <c r="H81" s="362"/>
      <c r="I81" s="360"/>
      <c r="J81" s="379"/>
    </row>
    <row r="82" spans="2:10" ht="28.5" hidden="1" customHeight="1">
      <c r="B82" s="583"/>
      <c r="C82" s="502" t="s">
        <v>512</v>
      </c>
      <c r="D82" s="515" t="s">
        <v>513</v>
      </c>
      <c r="E82" s="503" t="s">
        <v>163</v>
      </c>
      <c r="F82" s="596">
        <f>+Accesorios!K17</f>
        <v>18</v>
      </c>
      <c r="G82" s="3"/>
      <c r="H82" s="360"/>
      <c r="I82" s="360"/>
      <c r="J82" s="379"/>
    </row>
    <row r="83" spans="2:10" ht="28.5" hidden="1" customHeight="1">
      <c r="B83" s="583"/>
      <c r="C83" s="502" t="s">
        <v>514</v>
      </c>
      <c r="D83" s="515" t="s">
        <v>515</v>
      </c>
      <c r="E83" s="503" t="s">
        <v>163</v>
      </c>
      <c r="F83" s="596">
        <f>+Accesorios!K18</f>
        <v>4</v>
      </c>
      <c r="G83" s="3"/>
      <c r="H83" s="360"/>
      <c r="I83" s="360"/>
      <c r="J83" s="379"/>
    </row>
    <row r="84" spans="2:10" ht="28.5" hidden="1" customHeight="1">
      <c r="B84" s="583"/>
      <c r="C84" s="502" t="s">
        <v>516</v>
      </c>
      <c r="D84" s="515" t="s">
        <v>517</v>
      </c>
      <c r="E84" s="503" t="s">
        <v>163</v>
      </c>
      <c r="F84" s="596">
        <f>+Accesorios!K19</f>
        <v>2</v>
      </c>
      <c r="G84" s="3"/>
      <c r="H84" s="360"/>
      <c r="I84" s="360"/>
      <c r="J84" s="379"/>
    </row>
    <row r="85" spans="2:10" ht="28.5" hidden="1" customHeight="1">
      <c r="B85" s="585"/>
      <c r="C85" s="502" t="s">
        <v>518</v>
      </c>
      <c r="D85" s="587" t="s">
        <v>1235</v>
      </c>
      <c r="E85" s="503" t="s">
        <v>163</v>
      </c>
      <c r="F85" s="596">
        <f>+Accesorios!K20</f>
        <v>1</v>
      </c>
      <c r="G85" s="3"/>
      <c r="H85" s="360"/>
      <c r="I85" s="360"/>
      <c r="J85" s="379"/>
    </row>
    <row r="86" spans="2:10" ht="28.5" hidden="1" customHeight="1">
      <c r="B86" s="583"/>
      <c r="C86" s="506" t="s">
        <v>519</v>
      </c>
      <c r="D86" s="522" t="s">
        <v>520</v>
      </c>
      <c r="E86" s="507" t="s">
        <v>156</v>
      </c>
      <c r="F86" s="598"/>
      <c r="G86" s="3"/>
      <c r="H86" s="361"/>
      <c r="I86" s="360"/>
      <c r="J86" s="379"/>
    </row>
    <row r="87" spans="2:10" ht="28.5" hidden="1" customHeight="1">
      <c r="B87" s="583"/>
      <c r="C87" s="502" t="s">
        <v>521</v>
      </c>
      <c r="D87" s="515" t="s">
        <v>522</v>
      </c>
      <c r="E87" s="503" t="s">
        <v>163</v>
      </c>
      <c r="F87" s="596">
        <f>SUM(F79:F85)</f>
        <v>56</v>
      </c>
      <c r="G87" s="3"/>
      <c r="H87" s="360"/>
      <c r="I87" s="360"/>
      <c r="J87" s="379"/>
    </row>
    <row r="88" spans="2:10" ht="28.5" hidden="1" customHeight="1">
      <c r="B88" s="583"/>
      <c r="C88" s="502" t="s">
        <v>523</v>
      </c>
      <c r="D88" s="515" t="s">
        <v>524</v>
      </c>
      <c r="E88" s="503" t="s">
        <v>163</v>
      </c>
      <c r="F88" s="596">
        <f>+F87</f>
        <v>56</v>
      </c>
      <c r="G88" s="3"/>
      <c r="H88" s="360"/>
      <c r="I88" s="360"/>
      <c r="J88" s="379"/>
    </row>
    <row r="89" spans="2:10" ht="28.5" hidden="1" customHeight="1">
      <c r="B89" s="583"/>
      <c r="C89" s="502" t="s">
        <v>866</v>
      </c>
      <c r="D89" s="587" t="s">
        <v>1236</v>
      </c>
      <c r="E89" s="503" t="s">
        <v>163</v>
      </c>
      <c r="F89" s="596">
        <f>+'F-1'!U84</f>
        <v>17</v>
      </c>
      <c r="G89" s="3"/>
      <c r="H89" s="360"/>
      <c r="I89" s="360"/>
      <c r="J89" s="379"/>
    </row>
    <row r="90" spans="2:10" ht="28.5" hidden="1" customHeight="1">
      <c r="B90" s="584"/>
      <c r="C90" s="502" t="s">
        <v>961</v>
      </c>
      <c r="D90" s="587" t="s">
        <v>1237</v>
      </c>
      <c r="E90" s="503" t="s">
        <v>163</v>
      </c>
      <c r="F90" s="596">
        <f>+'F-1'!U86</f>
        <v>9</v>
      </c>
      <c r="G90" s="3"/>
      <c r="H90" s="360"/>
      <c r="I90" s="360"/>
      <c r="J90" s="379"/>
    </row>
    <row r="91" spans="2:10" ht="28.5" hidden="1" customHeight="1">
      <c r="B91" s="583"/>
      <c r="C91" s="504" t="s">
        <v>525</v>
      </c>
      <c r="D91" s="521" t="s">
        <v>169</v>
      </c>
      <c r="E91" s="505" t="s">
        <v>156</v>
      </c>
      <c r="F91" s="597"/>
      <c r="G91" s="3"/>
      <c r="H91" s="361"/>
      <c r="I91" s="360"/>
      <c r="J91" s="379"/>
    </row>
    <row r="92" spans="2:10" ht="28.5" hidden="1" customHeight="1">
      <c r="B92" s="583"/>
      <c r="C92" s="502" t="s">
        <v>526</v>
      </c>
      <c r="D92" s="515" t="s">
        <v>527</v>
      </c>
      <c r="E92" s="503" t="s">
        <v>163</v>
      </c>
      <c r="F92" s="596">
        <f>+ROUND((F71+F72)/50,0)</f>
        <v>36</v>
      </c>
      <c r="G92" s="3"/>
      <c r="H92" s="362"/>
      <c r="I92" s="360"/>
      <c r="J92" s="379"/>
    </row>
    <row r="93" spans="2:10" ht="28.5" hidden="1" customHeight="1">
      <c r="B93" s="583"/>
      <c r="C93" s="502" t="s">
        <v>528</v>
      </c>
      <c r="D93" s="515" t="s">
        <v>529</v>
      </c>
      <c r="E93" s="503" t="s">
        <v>163</v>
      </c>
      <c r="F93" s="596">
        <v>6</v>
      </c>
      <c r="G93" s="3"/>
      <c r="H93" s="360"/>
      <c r="I93" s="360"/>
      <c r="J93" s="379"/>
    </row>
    <row r="94" spans="2:10" ht="28.5" hidden="1" customHeight="1">
      <c r="B94" s="583"/>
      <c r="C94" s="502" t="s">
        <v>530</v>
      </c>
      <c r="D94" s="515" t="s">
        <v>531</v>
      </c>
      <c r="E94" s="503" t="s">
        <v>161</v>
      </c>
      <c r="F94" s="596">
        <f>+F71</f>
        <v>604.03000000000009</v>
      </c>
      <c r="G94" s="3"/>
      <c r="H94" s="360"/>
      <c r="I94" s="360"/>
      <c r="J94" s="379"/>
    </row>
    <row r="95" spans="2:10" ht="28.5" hidden="1" customHeight="1">
      <c r="B95" s="584"/>
      <c r="C95" s="502" t="s">
        <v>532</v>
      </c>
      <c r="D95" s="515" t="s">
        <v>533</v>
      </c>
      <c r="E95" s="503" t="s">
        <v>161</v>
      </c>
      <c r="F95" s="596">
        <f>+F72</f>
        <v>1210.5900000000001</v>
      </c>
      <c r="G95" s="3"/>
      <c r="H95" s="360"/>
      <c r="I95" s="360"/>
      <c r="J95" s="379"/>
    </row>
    <row r="96" spans="2:10" ht="28.5" hidden="1" customHeight="1">
      <c r="B96" s="585"/>
      <c r="C96" s="504" t="s">
        <v>534</v>
      </c>
      <c r="D96" s="521" t="s">
        <v>535</v>
      </c>
      <c r="E96" s="505" t="s">
        <v>156</v>
      </c>
      <c r="F96" s="597"/>
      <c r="G96" s="3"/>
      <c r="H96" s="360"/>
      <c r="I96" s="360"/>
      <c r="J96" s="379"/>
    </row>
    <row r="97" spans="2:10" ht="28.5" hidden="1" customHeight="1">
      <c r="B97" s="583"/>
      <c r="C97" s="506" t="s">
        <v>536</v>
      </c>
      <c r="D97" s="588" t="s">
        <v>1238</v>
      </c>
      <c r="E97" s="507" t="s">
        <v>156</v>
      </c>
      <c r="F97" s="598"/>
      <c r="G97" s="3"/>
      <c r="H97" s="360"/>
      <c r="I97" s="360"/>
      <c r="J97" s="379"/>
    </row>
    <row r="98" spans="2:10" ht="28.5" hidden="1" customHeight="1">
      <c r="B98" s="583"/>
      <c r="C98" s="502" t="s">
        <v>537</v>
      </c>
      <c r="D98" s="587" t="s">
        <v>1239</v>
      </c>
      <c r="E98" s="503" t="s">
        <v>163</v>
      </c>
      <c r="F98" s="596">
        <f>+Mejoramientos!K28</f>
        <v>1</v>
      </c>
      <c r="G98" s="3"/>
      <c r="H98" s="360"/>
      <c r="I98" s="360"/>
      <c r="J98" s="379"/>
    </row>
    <row r="99" spans="2:10" ht="28.5" hidden="1" customHeight="1">
      <c r="B99" s="583"/>
      <c r="C99" s="502" t="s">
        <v>539</v>
      </c>
      <c r="D99" s="587" t="s">
        <v>1240</v>
      </c>
      <c r="E99" s="503" t="s">
        <v>161</v>
      </c>
      <c r="F99" s="596">
        <f>+Mejoramientos!K29</f>
        <v>2</v>
      </c>
      <c r="G99" s="3"/>
      <c r="H99" s="360"/>
      <c r="I99" s="360"/>
      <c r="J99" s="379"/>
    </row>
    <row r="100" spans="2:10" ht="28.5" hidden="1" customHeight="1">
      <c r="B100" s="583"/>
      <c r="C100" s="502" t="s">
        <v>550</v>
      </c>
      <c r="D100" s="515" t="s">
        <v>541</v>
      </c>
      <c r="E100" s="503" t="s">
        <v>163</v>
      </c>
      <c r="F100" s="596">
        <f>+Mejoramientos!K30</f>
        <v>2</v>
      </c>
      <c r="G100" s="3"/>
      <c r="H100" s="362"/>
      <c r="I100" s="360"/>
      <c r="J100" s="379"/>
    </row>
    <row r="101" spans="2:10" ht="28.5" hidden="1" customHeight="1">
      <c r="B101" s="583"/>
      <c r="C101" s="502" t="s">
        <v>869</v>
      </c>
      <c r="D101" s="515" t="s">
        <v>543</v>
      </c>
      <c r="E101" s="503" t="s">
        <v>163</v>
      </c>
      <c r="F101" s="596">
        <f>+Mejoramientos!K31</f>
        <v>6</v>
      </c>
      <c r="G101" s="3"/>
      <c r="H101" s="360"/>
      <c r="I101" s="360"/>
      <c r="J101" s="379"/>
    </row>
    <row r="102" spans="2:10" ht="28.5" hidden="1" customHeight="1">
      <c r="B102" s="583"/>
      <c r="C102" s="502" t="s">
        <v>871</v>
      </c>
      <c r="D102" s="515" t="s">
        <v>545</v>
      </c>
      <c r="E102" s="503" t="s">
        <v>163</v>
      </c>
      <c r="F102" s="596">
        <f>+Mejoramientos!K32</f>
        <v>84</v>
      </c>
      <c r="G102" s="3"/>
      <c r="H102" s="360"/>
      <c r="I102" s="360"/>
      <c r="J102" s="379"/>
    </row>
    <row r="103" spans="2:10" ht="28.5" hidden="1" customHeight="1">
      <c r="B103" s="583"/>
      <c r="C103" s="502" t="s">
        <v>872</v>
      </c>
      <c r="D103" s="515" t="s">
        <v>547</v>
      </c>
      <c r="E103" s="503" t="s">
        <v>163</v>
      </c>
      <c r="F103" s="596">
        <f>+Mejoramientos!K33</f>
        <v>4</v>
      </c>
      <c r="G103" s="3"/>
      <c r="H103" s="360"/>
      <c r="I103" s="360"/>
      <c r="J103" s="379"/>
    </row>
    <row r="104" spans="2:10" ht="28.5" hidden="1" customHeight="1">
      <c r="B104" s="583"/>
      <c r="C104" s="502" t="s">
        <v>873</v>
      </c>
      <c r="D104" s="515" t="s">
        <v>549</v>
      </c>
      <c r="E104" s="503" t="s">
        <v>163</v>
      </c>
      <c r="F104" s="596">
        <f>+Mejoramientos!K34</f>
        <v>1</v>
      </c>
      <c r="G104" s="3"/>
      <c r="H104" s="360"/>
      <c r="I104" s="360"/>
      <c r="J104" s="379"/>
    </row>
    <row r="105" spans="2:10" ht="28.5" hidden="1" customHeight="1">
      <c r="B105" s="585"/>
      <c r="C105" s="502" t="s">
        <v>874</v>
      </c>
      <c r="D105" s="515" t="s">
        <v>552</v>
      </c>
      <c r="E105" s="503" t="s">
        <v>163</v>
      </c>
      <c r="F105" s="596">
        <f>+Mejoramientos!K35</f>
        <v>1</v>
      </c>
      <c r="G105" s="3"/>
      <c r="H105" s="360"/>
      <c r="I105" s="360"/>
      <c r="J105" s="379"/>
    </row>
    <row r="106" spans="2:10" ht="28.5" hidden="1" customHeight="1">
      <c r="B106" s="583"/>
      <c r="C106" s="506" t="s">
        <v>553</v>
      </c>
      <c r="D106" s="522" t="s">
        <v>1241</v>
      </c>
      <c r="E106" s="507" t="s">
        <v>156</v>
      </c>
      <c r="F106" s="596">
        <f>+Mejoramientos!K36</f>
        <v>0</v>
      </c>
      <c r="G106" s="4"/>
      <c r="H106" s="360"/>
      <c r="I106" s="360"/>
      <c r="J106" s="379"/>
    </row>
    <row r="107" spans="2:10" ht="28.5" hidden="1" customHeight="1">
      <c r="B107" s="583"/>
      <c r="C107" s="502" t="s">
        <v>554</v>
      </c>
      <c r="D107" s="515" t="s">
        <v>556</v>
      </c>
      <c r="E107" s="503" t="s">
        <v>161</v>
      </c>
      <c r="F107" s="596">
        <f>+Mejoramientos!K37</f>
        <v>6.05</v>
      </c>
      <c r="G107" s="368"/>
      <c r="H107" s="360"/>
      <c r="I107" s="360"/>
      <c r="J107" s="379"/>
    </row>
    <row r="108" spans="2:10" ht="28.5" hidden="1" customHeight="1">
      <c r="B108" s="583"/>
      <c r="C108" s="502" t="s">
        <v>557</v>
      </c>
      <c r="D108" s="515" t="s">
        <v>541</v>
      </c>
      <c r="E108" s="503" t="s">
        <v>163</v>
      </c>
      <c r="F108" s="596">
        <f>+Mejoramientos!K38</f>
        <v>3</v>
      </c>
      <c r="G108" s="368"/>
      <c r="H108" s="360"/>
      <c r="I108" s="360"/>
      <c r="J108" s="379"/>
    </row>
    <row r="109" spans="2:10" ht="28.5" hidden="1" customHeight="1">
      <c r="B109" s="583"/>
      <c r="C109" s="502" t="s">
        <v>565</v>
      </c>
      <c r="D109" s="515" t="s">
        <v>543</v>
      </c>
      <c r="E109" s="503" t="s">
        <v>163</v>
      </c>
      <c r="F109" s="596">
        <f>+Mejoramientos!K39</f>
        <v>8</v>
      </c>
      <c r="G109" s="368"/>
      <c r="H109" s="362"/>
      <c r="I109" s="360"/>
      <c r="J109" s="379"/>
    </row>
    <row r="110" spans="2:10" ht="28.5" hidden="1" customHeight="1">
      <c r="B110" s="583"/>
      <c r="C110" s="502" t="s">
        <v>967</v>
      </c>
      <c r="D110" s="515" t="s">
        <v>545</v>
      </c>
      <c r="E110" s="503" t="s">
        <v>163</v>
      </c>
      <c r="F110" s="596">
        <f>+Mejoramientos!K40</f>
        <v>128</v>
      </c>
      <c r="G110" s="368"/>
      <c r="H110" s="360"/>
      <c r="I110" s="360"/>
      <c r="J110" s="379"/>
    </row>
    <row r="111" spans="2:10" ht="28.5" hidden="1" customHeight="1">
      <c r="B111" s="583"/>
      <c r="C111" s="502" t="s">
        <v>968</v>
      </c>
      <c r="D111" s="515" t="s">
        <v>547</v>
      </c>
      <c r="E111" s="503" t="s">
        <v>163</v>
      </c>
      <c r="F111" s="596">
        <f>+Mejoramientos!K41</f>
        <v>3</v>
      </c>
      <c r="G111" s="368"/>
      <c r="H111" s="360"/>
      <c r="I111" s="360"/>
      <c r="J111" s="379"/>
    </row>
    <row r="112" spans="2:10" ht="28.5" hidden="1" customHeight="1">
      <c r="B112" s="583"/>
      <c r="C112" s="502" t="s">
        <v>969</v>
      </c>
      <c r="D112" s="515" t="s">
        <v>563</v>
      </c>
      <c r="E112" s="503" t="s">
        <v>163</v>
      </c>
      <c r="F112" s="596">
        <f>+Mejoramientos!K42</f>
        <v>1</v>
      </c>
      <c r="G112" s="368"/>
      <c r="H112" s="360"/>
      <c r="I112" s="360"/>
      <c r="J112" s="379"/>
    </row>
    <row r="113" spans="2:10" ht="28.5" hidden="1" customHeight="1">
      <c r="B113" s="583"/>
      <c r="C113" s="502" t="s">
        <v>970</v>
      </c>
      <c r="D113" s="515" t="s">
        <v>549</v>
      </c>
      <c r="E113" s="503" t="s">
        <v>163</v>
      </c>
      <c r="F113" s="596">
        <f>+Mejoramientos!K43</f>
        <v>1</v>
      </c>
      <c r="G113" s="368"/>
      <c r="H113" s="360"/>
      <c r="I113" s="360"/>
      <c r="J113" s="379"/>
    </row>
    <row r="114" spans="2:10" ht="28.5" hidden="1" customHeight="1">
      <c r="B114" s="585"/>
      <c r="C114" s="502" t="s">
        <v>971</v>
      </c>
      <c r="D114" s="515" t="s">
        <v>566</v>
      </c>
      <c r="E114" s="503" t="s">
        <v>163</v>
      </c>
      <c r="F114" s="596">
        <f>+Mejoramientos!K44</f>
        <v>1</v>
      </c>
      <c r="G114" s="368"/>
      <c r="H114" s="360"/>
      <c r="I114" s="360"/>
      <c r="J114" s="379"/>
    </row>
    <row r="115" spans="2:10" ht="28.5" hidden="1" customHeight="1">
      <c r="B115" s="583"/>
      <c r="C115" s="506" t="s">
        <v>567</v>
      </c>
      <c r="D115" s="522" t="s">
        <v>1242</v>
      </c>
      <c r="E115" s="507" t="s">
        <v>156</v>
      </c>
      <c r="F115" s="596">
        <f>+Mejoramientos!K45</f>
        <v>0</v>
      </c>
      <c r="G115" s="368"/>
      <c r="H115" s="360"/>
      <c r="I115" s="360"/>
      <c r="J115" s="379"/>
    </row>
    <row r="116" spans="2:10" ht="28.5" hidden="1" customHeight="1">
      <c r="B116" s="583"/>
      <c r="C116" s="502" t="s">
        <v>568</v>
      </c>
      <c r="D116" s="587" t="s">
        <v>1243</v>
      </c>
      <c r="E116" s="503" t="s">
        <v>163</v>
      </c>
      <c r="F116" s="596">
        <f>+Mejoramientos!K46</f>
        <v>1</v>
      </c>
      <c r="G116" s="368"/>
      <c r="H116" s="360"/>
      <c r="I116" s="360"/>
      <c r="J116" s="379"/>
    </row>
    <row r="117" spans="2:10" ht="28.5" hidden="1" customHeight="1">
      <c r="B117" s="583"/>
      <c r="C117" s="502" t="s">
        <v>571</v>
      </c>
      <c r="D117" s="515" t="s">
        <v>570</v>
      </c>
      <c r="E117" s="503" t="s">
        <v>161</v>
      </c>
      <c r="F117" s="596">
        <f>+Mejoramientos!K47</f>
        <v>17.39</v>
      </c>
      <c r="G117" s="368"/>
      <c r="H117" s="360"/>
      <c r="I117" s="360"/>
      <c r="J117" s="379"/>
    </row>
    <row r="118" spans="2:10" ht="28.5" hidden="1" customHeight="1">
      <c r="B118" s="583"/>
      <c r="C118" s="502" t="s">
        <v>595</v>
      </c>
      <c r="D118" s="515" t="s">
        <v>573</v>
      </c>
      <c r="E118" s="503" t="s">
        <v>163</v>
      </c>
      <c r="F118" s="596">
        <f>+Mejoramientos!K48</f>
        <v>15</v>
      </c>
      <c r="G118" s="368"/>
      <c r="H118" s="360"/>
      <c r="I118" s="360"/>
      <c r="J118" s="379"/>
    </row>
    <row r="119" spans="2:10" ht="28.5" hidden="1" customHeight="1">
      <c r="B119" s="583"/>
      <c r="C119" s="502" t="s">
        <v>598</v>
      </c>
      <c r="D119" s="515" t="s">
        <v>575</v>
      </c>
      <c r="E119" s="503" t="s">
        <v>163</v>
      </c>
      <c r="F119" s="596">
        <f>+Mejoramientos!K49</f>
        <v>3</v>
      </c>
      <c r="G119" s="368"/>
      <c r="H119" s="360"/>
      <c r="I119" s="360"/>
      <c r="J119" s="379"/>
    </row>
    <row r="120" spans="2:10" ht="28.5" hidden="1" customHeight="1">
      <c r="B120" s="583"/>
      <c r="C120" s="502" t="s">
        <v>1159</v>
      </c>
      <c r="D120" s="515" t="s">
        <v>577</v>
      </c>
      <c r="E120" s="503" t="s">
        <v>163</v>
      </c>
      <c r="F120" s="596">
        <f>+Mejoramientos!K50</f>
        <v>21</v>
      </c>
      <c r="G120" s="368"/>
      <c r="H120" s="360"/>
      <c r="I120" s="360"/>
      <c r="J120" s="379"/>
    </row>
    <row r="121" spans="2:10" ht="28.5" hidden="1" customHeight="1">
      <c r="B121" s="583"/>
      <c r="C121" s="502" t="s">
        <v>1160</v>
      </c>
      <c r="D121" s="515" t="s">
        <v>579</v>
      </c>
      <c r="E121" s="503" t="s">
        <v>163</v>
      </c>
      <c r="F121" s="596">
        <f>+Mejoramientos!K51</f>
        <v>252</v>
      </c>
      <c r="G121" s="368"/>
      <c r="H121" s="360"/>
      <c r="I121" s="360"/>
      <c r="J121" s="379"/>
    </row>
    <row r="122" spans="2:10" ht="28.5" hidden="1" customHeight="1">
      <c r="B122" s="583"/>
      <c r="C122" s="502" t="s">
        <v>1161</v>
      </c>
      <c r="D122" s="515" t="s">
        <v>581</v>
      </c>
      <c r="E122" s="503" t="s">
        <v>163</v>
      </c>
      <c r="F122" s="596">
        <f>+Mejoramientos!K52</f>
        <v>1</v>
      </c>
      <c r="G122" s="368"/>
      <c r="H122" s="360"/>
      <c r="I122" s="360"/>
      <c r="J122" s="379"/>
    </row>
    <row r="123" spans="2:10" ht="28.5" hidden="1" customHeight="1">
      <c r="B123" s="583"/>
      <c r="C123" s="502" t="s">
        <v>1162</v>
      </c>
      <c r="D123" s="515" t="s">
        <v>583</v>
      </c>
      <c r="E123" s="503" t="s">
        <v>163</v>
      </c>
      <c r="F123" s="596">
        <f>+Mejoramientos!K53</f>
        <v>1</v>
      </c>
      <c r="G123" s="368"/>
      <c r="H123" s="360"/>
      <c r="I123" s="360"/>
      <c r="J123" s="379"/>
    </row>
    <row r="124" spans="2:10" ht="28.5" hidden="1" customHeight="1">
      <c r="B124" s="583"/>
      <c r="C124" s="502" t="s">
        <v>1163</v>
      </c>
      <c r="D124" s="515" t="s">
        <v>585</v>
      </c>
      <c r="E124" s="503" t="s">
        <v>163</v>
      </c>
      <c r="F124" s="596">
        <f>+Mejoramientos!K54</f>
        <v>3</v>
      </c>
      <c r="G124" s="368"/>
      <c r="H124" s="360"/>
      <c r="I124" s="360"/>
      <c r="J124" s="379"/>
    </row>
    <row r="125" spans="2:10" ht="28.5" hidden="1" customHeight="1">
      <c r="B125" s="583"/>
      <c r="C125" s="502" t="s">
        <v>1164</v>
      </c>
      <c r="D125" s="515" t="s">
        <v>587</v>
      </c>
      <c r="E125" s="503" t="s">
        <v>163</v>
      </c>
      <c r="F125" s="596">
        <f>+Mejoramientos!K55</f>
        <v>2</v>
      </c>
      <c r="G125" s="368"/>
      <c r="H125" s="360"/>
      <c r="I125" s="360"/>
      <c r="J125" s="379"/>
    </row>
    <row r="126" spans="2:10" ht="28.5" hidden="1" customHeight="1">
      <c r="B126" s="583"/>
      <c r="C126" s="502" t="s">
        <v>1165</v>
      </c>
      <c r="D126" s="515" t="s">
        <v>589</v>
      </c>
      <c r="E126" s="503" t="s">
        <v>163</v>
      </c>
      <c r="F126" s="596">
        <f>+Mejoramientos!K56</f>
        <v>1</v>
      </c>
      <c r="G126" s="368"/>
      <c r="H126" s="361"/>
      <c r="I126" s="360"/>
      <c r="J126" s="379"/>
    </row>
    <row r="127" spans="2:10" ht="28.5" hidden="1" customHeight="1">
      <c r="B127" s="583"/>
      <c r="C127" s="502" t="s">
        <v>1166</v>
      </c>
      <c r="D127" s="515" t="s">
        <v>591</v>
      </c>
      <c r="E127" s="503" t="s">
        <v>163</v>
      </c>
      <c r="F127" s="596">
        <f>+Mejoramientos!K57</f>
        <v>2</v>
      </c>
      <c r="G127" s="368"/>
      <c r="H127" s="362"/>
      <c r="I127" s="360"/>
      <c r="J127" s="379"/>
    </row>
    <row r="128" spans="2:10" ht="28.5" hidden="1" customHeight="1">
      <c r="B128" s="583"/>
      <c r="C128" s="502" t="s">
        <v>1167</v>
      </c>
      <c r="D128" s="515" t="s">
        <v>593</v>
      </c>
      <c r="E128" s="503" t="s">
        <v>163</v>
      </c>
      <c r="F128" s="596">
        <f>+Mejoramientos!K58</f>
        <v>1</v>
      </c>
      <c r="G128" s="368"/>
      <c r="H128" s="360"/>
      <c r="I128" s="360"/>
      <c r="J128" s="379"/>
    </row>
    <row r="129" spans="2:10" ht="28.5" hidden="1" customHeight="1">
      <c r="B129" s="583"/>
      <c r="C129" s="502" t="s">
        <v>1168</v>
      </c>
      <c r="D129" s="515" t="s">
        <v>594</v>
      </c>
      <c r="E129" s="503" t="s">
        <v>163</v>
      </c>
      <c r="F129" s="596">
        <f>+Mejoramientos!K59</f>
        <v>2</v>
      </c>
      <c r="G129" s="368"/>
      <c r="H129" s="360"/>
      <c r="I129" s="360"/>
      <c r="J129" s="379"/>
    </row>
    <row r="130" spans="2:10" ht="28.5" hidden="1" customHeight="1">
      <c r="B130" s="583"/>
      <c r="C130" s="502" t="s">
        <v>1169</v>
      </c>
      <c r="D130" s="515" t="s">
        <v>596</v>
      </c>
      <c r="E130" s="503" t="s">
        <v>163</v>
      </c>
      <c r="F130" s="596">
        <f>+Mejoramientos!K60</f>
        <v>1</v>
      </c>
      <c r="G130" s="368"/>
      <c r="H130" s="360"/>
      <c r="I130" s="360"/>
      <c r="J130" s="379"/>
    </row>
    <row r="131" spans="2:10" ht="28.5" hidden="1" customHeight="1">
      <c r="B131" s="583"/>
      <c r="C131" s="502" t="s">
        <v>1170</v>
      </c>
      <c r="D131" s="515" t="s">
        <v>597</v>
      </c>
      <c r="E131" s="503" t="s">
        <v>163</v>
      </c>
      <c r="F131" s="596">
        <f>+Mejoramientos!K61</f>
        <v>1</v>
      </c>
      <c r="G131" s="368"/>
      <c r="H131" s="360"/>
      <c r="I131" s="360"/>
      <c r="J131" s="379"/>
    </row>
    <row r="132" spans="2:10" ht="28.5" hidden="1" customHeight="1">
      <c r="B132" s="584"/>
      <c r="C132" s="502" t="s">
        <v>1244</v>
      </c>
      <c r="D132" s="515" t="s">
        <v>599</v>
      </c>
      <c r="E132" s="503" t="s">
        <v>163</v>
      </c>
      <c r="F132" s="596">
        <f>+Mejoramientos!K62</f>
        <v>1</v>
      </c>
      <c r="G132" s="368"/>
      <c r="H132" s="362"/>
      <c r="I132" s="360"/>
      <c r="J132" s="379"/>
    </row>
    <row r="133" spans="2:10" ht="28.5" hidden="1" customHeight="1">
      <c r="B133" s="585"/>
      <c r="C133" s="504" t="s">
        <v>600</v>
      </c>
      <c r="D133" s="521" t="s">
        <v>238</v>
      </c>
      <c r="E133" s="505" t="s">
        <v>156</v>
      </c>
      <c r="F133" s="597"/>
      <c r="G133" s="368"/>
      <c r="H133" s="360"/>
      <c r="I133" s="360"/>
      <c r="J133" s="379"/>
    </row>
    <row r="134" spans="2:10" ht="28.5" hidden="1" customHeight="1">
      <c r="B134" s="583"/>
      <c r="C134" s="506" t="s">
        <v>601</v>
      </c>
      <c r="D134" s="522" t="s">
        <v>602</v>
      </c>
      <c r="E134" s="507" t="s">
        <v>156</v>
      </c>
      <c r="F134" s="598"/>
      <c r="G134" s="368"/>
      <c r="H134" s="360"/>
      <c r="I134" s="360"/>
      <c r="J134" s="379"/>
    </row>
    <row r="135" spans="2:10" ht="28.5" hidden="1" customHeight="1">
      <c r="B135" s="583"/>
      <c r="C135" s="502" t="s">
        <v>603</v>
      </c>
      <c r="D135" s="515" t="s">
        <v>604</v>
      </c>
      <c r="E135" s="503" t="s">
        <v>163</v>
      </c>
      <c r="F135" s="596">
        <f>+'F-1'!U69</f>
        <v>1</v>
      </c>
      <c r="G135" s="368"/>
      <c r="H135" s="360"/>
      <c r="I135" s="360"/>
      <c r="J135" s="379"/>
    </row>
    <row r="136" spans="2:10" ht="28.5" hidden="1" customHeight="1">
      <c r="B136" s="583"/>
      <c r="C136" s="502" t="s">
        <v>605</v>
      </c>
      <c r="D136" s="515" t="s">
        <v>596</v>
      </c>
      <c r="E136" s="503" t="s">
        <v>163</v>
      </c>
      <c r="F136" s="596">
        <f>+F135</f>
        <v>1</v>
      </c>
      <c r="G136" s="368"/>
      <c r="H136" s="360"/>
      <c r="I136" s="360"/>
      <c r="J136" s="379"/>
    </row>
    <row r="137" spans="2:10" ht="28.5" hidden="1" customHeight="1">
      <c r="B137" s="583"/>
      <c r="C137" s="502" t="s">
        <v>607</v>
      </c>
      <c r="D137" s="515" t="s">
        <v>608</v>
      </c>
      <c r="E137" s="503" t="s">
        <v>163</v>
      </c>
      <c r="F137" s="596">
        <f>+F136</f>
        <v>1</v>
      </c>
      <c r="G137" s="368"/>
      <c r="H137" s="362"/>
      <c r="I137" s="360"/>
      <c r="J137" s="379"/>
    </row>
    <row r="138" spans="2:10" ht="28.5" hidden="1" customHeight="1">
      <c r="B138" s="585"/>
      <c r="C138" s="502" t="s">
        <v>609</v>
      </c>
      <c r="D138" s="515" t="s">
        <v>1355</v>
      </c>
      <c r="E138" s="503" t="s">
        <v>163</v>
      </c>
      <c r="F138" s="596">
        <f>+F137</f>
        <v>1</v>
      </c>
      <c r="G138" s="368"/>
      <c r="H138" s="360"/>
      <c r="I138" s="360"/>
      <c r="J138" s="379"/>
    </row>
    <row r="139" spans="2:10" ht="28.5" hidden="1" customHeight="1">
      <c r="B139" s="583"/>
      <c r="C139" s="506" t="s">
        <v>610</v>
      </c>
      <c r="D139" s="522" t="s">
        <v>611</v>
      </c>
      <c r="E139" s="507" t="s">
        <v>156</v>
      </c>
      <c r="F139" s="598"/>
      <c r="G139" s="368"/>
      <c r="H139" s="360"/>
      <c r="I139" s="360"/>
      <c r="J139" s="379"/>
    </row>
    <row r="140" spans="2:10" ht="28.5" hidden="1" customHeight="1">
      <c r="B140" s="583"/>
      <c r="C140" s="502" t="s">
        <v>612</v>
      </c>
      <c r="D140" s="515" t="s">
        <v>613</v>
      </c>
      <c r="E140" s="503" t="s">
        <v>163</v>
      </c>
      <c r="F140" s="596">
        <f>+'F-1'!U70</f>
        <v>1</v>
      </c>
      <c r="G140" s="368"/>
      <c r="H140" s="360"/>
      <c r="I140" s="360"/>
      <c r="J140" s="379"/>
    </row>
    <row r="141" spans="2:10" ht="28.5" hidden="1" customHeight="1">
      <c r="B141" s="583"/>
      <c r="C141" s="502" t="s">
        <v>614</v>
      </c>
      <c r="D141" s="515" t="s">
        <v>1245</v>
      </c>
      <c r="E141" s="503" t="s">
        <v>163</v>
      </c>
      <c r="F141" s="596">
        <f>+F140</f>
        <v>1</v>
      </c>
      <c r="G141" s="368"/>
      <c r="H141" s="360"/>
      <c r="I141" s="360"/>
      <c r="J141" s="379"/>
    </row>
    <row r="142" spans="2:10" ht="28.5" hidden="1" customHeight="1">
      <c r="B142" s="583"/>
      <c r="C142" s="502" t="s">
        <v>615</v>
      </c>
      <c r="D142" s="515" t="s">
        <v>608</v>
      </c>
      <c r="E142" s="503" t="s">
        <v>163</v>
      </c>
      <c r="F142" s="596">
        <f>+F141</f>
        <v>1</v>
      </c>
      <c r="G142" s="368"/>
      <c r="H142" s="362"/>
      <c r="I142" s="360"/>
      <c r="J142" s="379"/>
    </row>
    <row r="143" spans="2:10" ht="28.5" hidden="1" customHeight="1">
      <c r="B143" s="585"/>
      <c r="C143" s="502" t="s">
        <v>616</v>
      </c>
      <c r="D143" s="515" t="s">
        <v>1356</v>
      </c>
      <c r="E143" s="503" t="s">
        <v>163</v>
      </c>
      <c r="F143" s="596">
        <f>+F142</f>
        <v>1</v>
      </c>
      <c r="G143" s="368"/>
      <c r="H143" s="360"/>
      <c r="I143" s="360"/>
      <c r="J143" s="379"/>
    </row>
    <row r="144" spans="2:10" ht="28.5" hidden="1" customHeight="1">
      <c r="B144" s="583"/>
      <c r="C144" s="506" t="s">
        <v>617</v>
      </c>
      <c r="D144" s="522" t="s">
        <v>618</v>
      </c>
      <c r="E144" s="507" t="s">
        <v>156</v>
      </c>
      <c r="F144" s="598"/>
      <c r="G144" s="365"/>
      <c r="H144" s="360"/>
      <c r="I144" s="360"/>
      <c r="J144" s="379"/>
    </row>
    <row r="145" spans="2:10" ht="28.5" hidden="1" customHeight="1">
      <c r="B145" s="583"/>
      <c r="C145" s="502" t="s">
        <v>619</v>
      </c>
      <c r="D145" s="515" t="s">
        <v>620</v>
      </c>
      <c r="E145" s="503" t="s">
        <v>163</v>
      </c>
      <c r="F145" s="596">
        <f>+'F-1'!U71</f>
        <v>1</v>
      </c>
      <c r="H145" s="360"/>
      <c r="I145" s="360"/>
      <c r="J145" s="379"/>
    </row>
    <row r="146" spans="2:10" ht="28.5" hidden="1" customHeight="1">
      <c r="B146" s="583"/>
      <c r="C146" s="502" t="s">
        <v>621</v>
      </c>
      <c r="D146" s="515" t="s">
        <v>622</v>
      </c>
      <c r="E146" s="503" t="s">
        <v>163</v>
      </c>
      <c r="F146" s="596">
        <f>+F145</f>
        <v>1</v>
      </c>
      <c r="H146" s="360"/>
      <c r="I146" s="360"/>
      <c r="J146" s="379"/>
    </row>
    <row r="147" spans="2:10" ht="28.5" hidden="1" customHeight="1">
      <c r="B147" s="583"/>
      <c r="C147" s="502" t="s">
        <v>623</v>
      </c>
      <c r="D147" s="515" t="s">
        <v>624</v>
      </c>
      <c r="E147" s="503" t="s">
        <v>163</v>
      </c>
      <c r="F147" s="596">
        <f>+F146</f>
        <v>1</v>
      </c>
      <c r="H147" s="362"/>
      <c r="I147" s="360"/>
      <c r="J147" s="379"/>
    </row>
    <row r="148" spans="2:10" ht="28.5" hidden="1" customHeight="1">
      <c r="B148" s="585"/>
      <c r="C148" s="502" t="s">
        <v>625</v>
      </c>
      <c r="D148" s="515" t="s">
        <v>626</v>
      </c>
      <c r="E148" s="503" t="s">
        <v>163</v>
      </c>
      <c r="F148" s="596">
        <f>+F147</f>
        <v>1</v>
      </c>
      <c r="H148" s="360"/>
      <c r="I148" s="360"/>
      <c r="J148" s="379"/>
    </row>
    <row r="149" spans="2:10" ht="28.5" hidden="1" customHeight="1">
      <c r="B149" s="583"/>
      <c r="C149" s="506" t="s">
        <v>627</v>
      </c>
      <c r="D149" s="522" t="s">
        <v>628</v>
      </c>
      <c r="E149" s="507" t="s">
        <v>156</v>
      </c>
      <c r="F149" s="598"/>
      <c r="H149" s="360"/>
      <c r="I149" s="360"/>
      <c r="J149" s="379"/>
    </row>
    <row r="150" spans="2:10" ht="28.5" hidden="1" customHeight="1">
      <c r="B150" s="583"/>
      <c r="C150" s="502" t="s">
        <v>629</v>
      </c>
      <c r="D150" s="515" t="s">
        <v>630</v>
      </c>
      <c r="E150" s="503" t="s">
        <v>163</v>
      </c>
      <c r="F150" s="596">
        <f>+'F-1'!U72</f>
        <v>1</v>
      </c>
      <c r="H150" s="360"/>
      <c r="I150" s="360"/>
      <c r="J150" s="379"/>
    </row>
    <row r="151" spans="2:10" ht="28.5" hidden="1" customHeight="1">
      <c r="B151" s="583"/>
      <c r="C151" s="502" t="s">
        <v>631</v>
      </c>
      <c r="D151" s="515" t="s">
        <v>632</v>
      </c>
      <c r="E151" s="503" t="s">
        <v>163</v>
      </c>
      <c r="F151" s="596">
        <f>+F150</f>
        <v>1</v>
      </c>
      <c r="H151" s="360"/>
      <c r="I151" s="360"/>
      <c r="J151" s="379"/>
    </row>
    <row r="152" spans="2:10" ht="28.5" hidden="1" customHeight="1">
      <c r="B152" s="583"/>
      <c r="C152" s="502" t="s">
        <v>633</v>
      </c>
      <c r="D152" s="515" t="s">
        <v>634</v>
      </c>
      <c r="E152" s="503" t="s">
        <v>163</v>
      </c>
      <c r="F152" s="596">
        <f>+F151</f>
        <v>1</v>
      </c>
      <c r="H152" s="361"/>
      <c r="I152" s="360"/>
      <c r="J152" s="379"/>
    </row>
    <row r="153" spans="2:10" ht="28.5" hidden="1" customHeight="1">
      <c r="B153" s="585"/>
      <c r="C153" s="502" t="s">
        <v>635</v>
      </c>
      <c r="D153" s="515" t="s">
        <v>636</v>
      </c>
      <c r="E153" s="503" t="s">
        <v>163</v>
      </c>
      <c r="F153" s="596">
        <f>+F152</f>
        <v>1</v>
      </c>
      <c r="H153" s="360"/>
      <c r="I153" s="360"/>
      <c r="J153" s="379"/>
    </row>
    <row r="154" spans="2:10" ht="28.5" hidden="1" customHeight="1">
      <c r="B154" s="583"/>
      <c r="C154" s="506" t="s">
        <v>637</v>
      </c>
      <c r="D154" s="522" t="s">
        <v>638</v>
      </c>
      <c r="E154" s="507" t="s">
        <v>156</v>
      </c>
      <c r="F154" s="598"/>
      <c r="H154" s="360"/>
      <c r="I154" s="360"/>
      <c r="J154" s="379"/>
    </row>
    <row r="155" spans="2:10" ht="28.5" hidden="1" customHeight="1">
      <c r="B155" s="583"/>
      <c r="C155" s="502" t="s">
        <v>639</v>
      </c>
      <c r="D155" s="515" t="s">
        <v>640</v>
      </c>
      <c r="E155" s="503" t="s">
        <v>163</v>
      </c>
      <c r="F155" s="596">
        <f>+'F-1'!U73</f>
        <v>1</v>
      </c>
      <c r="H155" s="360"/>
      <c r="I155" s="360"/>
      <c r="J155" s="379"/>
    </row>
    <row r="156" spans="2:10" ht="28.5" hidden="1" customHeight="1">
      <c r="B156" s="583"/>
      <c r="C156" s="502" t="s">
        <v>641</v>
      </c>
      <c r="D156" s="515" t="s">
        <v>597</v>
      </c>
      <c r="E156" s="503" t="s">
        <v>163</v>
      </c>
      <c r="F156" s="596">
        <f>+F155</f>
        <v>1</v>
      </c>
      <c r="H156" s="360"/>
      <c r="I156" s="360"/>
      <c r="J156" s="379"/>
    </row>
    <row r="157" spans="2:10" ht="28.5" hidden="1" customHeight="1">
      <c r="B157" s="583"/>
      <c r="C157" s="502" t="s">
        <v>642</v>
      </c>
      <c r="D157" s="515" t="s">
        <v>608</v>
      </c>
      <c r="E157" s="503" t="s">
        <v>163</v>
      </c>
      <c r="F157" s="596">
        <f>+F156</f>
        <v>1</v>
      </c>
      <c r="H157" s="360"/>
      <c r="I157" s="360"/>
      <c r="J157" s="379"/>
    </row>
    <row r="158" spans="2:10" ht="28.5" hidden="1" customHeight="1">
      <c r="B158" s="584"/>
      <c r="C158" s="502" t="s">
        <v>643</v>
      </c>
      <c r="D158" s="515" t="s">
        <v>1246</v>
      </c>
      <c r="E158" s="503" t="s">
        <v>163</v>
      </c>
      <c r="F158" s="596">
        <f>+F157</f>
        <v>1</v>
      </c>
      <c r="H158" s="360"/>
      <c r="I158" s="360"/>
      <c r="J158" s="379"/>
    </row>
    <row r="159" spans="2:10" ht="28.5" hidden="1" customHeight="1">
      <c r="B159" s="583"/>
      <c r="C159" s="504" t="s">
        <v>644</v>
      </c>
      <c r="D159" s="521" t="s">
        <v>645</v>
      </c>
      <c r="E159" s="505" t="s">
        <v>156</v>
      </c>
      <c r="F159" s="597"/>
      <c r="H159" s="360"/>
      <c r="I159" s="360"/>
      <c r="J159" s="379"/>
    </row>
    <row r="160" spans="2:10" ht="28.5" hidden="1" customHeight="1">
      <c r="B160" s="583"/>
      <c r="C160" s="502" t="s">
        <v>646</v>
      </c>
      <c r="D160" s="515" t="s">
        <v>647</v>
      </c>
      <c r="E160" s="503" t="s">
        <v>133</v>
      </c>
      <c r="F160" s="596">
        <f>+'F-1'!P63</f>
        <v>1496.529</v>
      </c>
      <c r="H160" s="360"/>
      <c r="I160" s="360"/>
      <c r="J160" s="379"/>
    </row>
    <row r="161" spans="2:10" ht="28.5" hidden="1" customHeight="1">
      <c r="B161" s="583"/>
      <c r="C161" s="502" t="s">
        <v>648</v>
      </c>
      <c r="D161" s="515" t="s">
        <v>649</v>
      </c>
      <c r="E161" s="503" t="s">
        <v>163</v>
      </c>
      <c r="F161" s="596">
        <f>+'F-1'!P70</f>
        <v>3</v>
      </c>
      <c r="H161" s="360"/>
      <c r="I161" s="360"/>
      <c r="J161" s="379"/>
    </row>
    <row r="162" spans="2:10" ht="28.5" hidden="1" customHeight="1">
      <c r="B162" s="583"/>
      <c r="C162" s="502" t="s">
        <v>650</v>
      </c>
      <c r="D162" s="515" t="s">
        <v>1357</v>
      </c>
      <c r="E162" s="503" t="s">
        <v>133</v>
      </c>
      <c r="F162" s="596">
        <f>+'F-1'!P74</f>
        <v>24.17</v>
      </c>
      <c r="H162" s="360"/>
      <c r="I162" s="360"/>
      <c r="J162" s="379"/>
    </row>
    <row r="163" spans="2:10" ht="28.5" hidden="1" customHeight="1">
      <c r="B163" s="583"/>
      <c r="C163" s="502" t="s">
        <v>651</v>
      </c>
      <c r="D163" s="515" t="s">
        <v>652</v>
      </c>
      <c r="E163" s="503" t="s">
        <v>161</v>
      </c>
      <c r="F163" s="596">
        <f>+'F-1'!P77</f>
        <v>46.2</v>
      </c>
      <c r="H163" s="360"/>
      <c r="I163" s="360"/>
      <c r="J163" s="379"/>
    </row>
    <row r="164" spans="2:10" ht="28.5" hidden="1" customHeight="1">
      <c r="B164" s="583"/>
      <c r="C164" s="502" t="s">
        <v>653</v>
      </c>
      <c r="D164" s="515" t="s">
        <v>654</v>
      </c>
      <c r="E164" s="503" t="s">
        <v>133</v>
      </c>
      <c r="F164" s="596">
        <f>+'F-1'!P83</f>
        <v>288.01499999999999</v>
      </c>
      <c r="H164" s="361"/>
      <c r="I164" s="360"/>
      <c r="J164" s="379"/>
    </row>
    <row r="165" spans="2:10" ht="28.5" hidden="1" customHeight="1">
      <c r="B165" s="583"/>
      <c r="C165" s="502" t="s">
        <v>655</v>
      </c>
      <c r="D165" s="515" t="s">
        <v>656</v>
      </c>
      <c r="E165" s="503" t="s">
        <v>163</v>
      </c>
      <c r="F165" s="596">
        <f>+'F-1'!P87</f>
        <v>1</v>
      </c>
      <c r="H165" s="360"/>
      <c r="I165" s="360"/>
      <c r="J165" s="379"/>
    </row>
    <row r="166" spans="2:10" ht="28.5" hidden="1" customHeight="1">
      <c r="B166" s="583"/>
      <c r="C166" s="502" t="s">
        <v>657</v>
      </c>
      <c r="D166" s="515" t="s">
        <v>658</v>
      </c>
      <c r="E166" s="503" t="s">
        <v>163</v>
      </c>
      <c r="F166" s="596">
        <f>+'F-1'!P92</f>
        <v>154</v>
      </c>
      <c r="H166" s="360"/>
      <c r="I166" s="360"/>
      <c r="J166" s="379"/>
    </row>
    <row r="167" spans="2:10" ht="28.5" hidden="1" customHeight="1">
      <c r="B167" s="583"/>
      <c r="C167" s="502" t="s">
        <v>659</v>
      </c>
      <c r="D167" s="515" t="s">
        <v>660</v>
      </c>
      <c r="E167" s="503" t="s">
        <v>163</v>
      </c>
      <c r="F167" s="596">
        <f>+'F-1'!P95</f>
        <v>13</v>
      </c>
      <c r="H167" s="360"/>
      <c r="I167" s="360"/>
      <c r="J167" s="379"/>
    </row>
    <row r="168" spans="2:10" ht="28.5" hidden="1" customHeight="1">
      <c r="B168" s="583"/>
      <c r="C168" s="502" t="s">
        <v>661</v>
      </c>
      <c r="D168" s="515" t="s">
        <v>663</v>
      </c>
      <c r="E168" s="503" t="s">
        <v>163</v>
      </c>
      <c r="F168" s="596">
        <f>+'F-1'!P98</f>
        <v>1</v>
      </c>
      <c r="H168" s="360"/>
      <c r="I168" s="360"/>
      <c r="J168" s="379"/>
    </row>
    <row r="169" spans="2:10" ht="28.5" hidden="1" customHeight="1">
      <c r="B169" s="583"/>
      <c r="C169" s="502" t="s">
        <v>662</v>
      </c>
      <c r="D169" s="515" t="s">
        <v>665</v>
      </c>
      <c r="E169" s="503" t="s">
        <v>133</v>
      </c>
      <c r="F169" s="596">
        <f>+'F-1'!P101</f>
        <v>60</v>
      </c>
      <c r="H169" s="361"/>
      <c r="I169" s="360"/>
      <c r="J169" s="379"/>
    </row>
    <row r="170" spans="2:10" ht="28.5" hidden="1" customHeight="1">
      <c r="B170" s="584"/>
      <c r="C170" s="502" t="s">
        <v>664</v>
      </c>
      <c r="D170" s="515" t="s">
        <v>257</v>
      </c>
      <c r="E170" s="503" t="s">
        <v>133</v>
      </c>
      <c r="F170" s="596">
        <f>+'F-1'!P104</f>
        <v>307.03999999999996</v>
      </c>
      <c r="H170" s="360"/>
      <c r="I170" s="360"/>
      <c r="J170" s="379"/>
    </row>
    <row r="171" spans="2:10" ht="28.5" hidden="1" customHeight="1">
      <c r="B171" s="583"/>
      <c r="C171" s="504" t="s">
        <v>666</v>
      </c>
      <c r="D171" s="521" t="s">
        <v>172</v>
      </c>
      <c r="E171" s="505" t="s">
        <v>156</v>
      </c>
      <c r="F171" s="597"/>
      <c r="H171" s="360"/>
      <c r="I171" s="360"/>
      <c r="J171" s="379"/>
    </row>
    <row r="172" spans="2:10" ht="28.5" hidden="1" customHeight="1">
      <c r="B172" s="583"/>
      <c r="C172" s="502" t="s">
        <v>667</v>
      </c>
      <c r="D172" s="515" t="s">
        <v>668</v>
      </c>
      <c r="E172" s="503" t="s">
        <v>163</v>
      </c>
      <c r="F172" s="596">
        <f>+'F-1'!U76</f>
        <v>3</v>
      </c>
      <c r="H172" s="360"/>
      <c r="I172" s="360"/>
      <c r="J172" s="379"/>
    </row>
    <row r="173" spans="2:10" ht="28.5" hidden="1" customHeight="1">
      <c r="B173" s="583"/>
      <c r="C173" s="502" t="s">
        <v>669</v>
      </c>
      <c r="D173" s="515" t="s">
        <v>670</v>
      </c>
      <c r="E173" s="503" t="s">
        <v>163</v>
      </c>
      <c r="F173" s="596">
        <f>+'F-1'!U77</f>
        <v>1</v>
      </c>
      <c r="H173" s="361"/>
      <c r="I173" s="360"/>
      <c r="J173" s="379"/>
    </row>
    <row r="174" spans="2:10" ht="28.5" hidden="1" customHeight="1">
      <c r="B174" s="583"/>
      <c r="C174" s="502" t="s">
        <v>671</v>
      </c>
      <c r="D174" s="515" t="s">
        <v>672</v>
      </c>
      <c r="E174" s="503" t="s">
        <v>163</v>
      </c>
      <c r="F174" s="596">
        <f>+'F-1'!U78</f>
        <v>1</v>
      </c>
      <c r="H174" s="360"/>
      <c r="I174" s="360"/>
      <c r="J174" s="379"/>
    </row>
    <row r="175" spans="2:10" ht="28.5" hidden="1" customHeight="1">
      <c r="B175" s="584"/>
      <c r="C175" s="502" t="s">
        <v>673</v>
      </c>
      <c r="D175" s="515" t="s">
        <v>674</v>
      </c>
      <c r="E175" s="503" t="s">
        <v>163</v>
      </c>
      <c r="F175" s="596">
        <f>+'F-1'!U79</f>
        <v>1</v>
      </c>
      <c r="H175" s="360"/>
      <c r="I175" s="360"/>
      <c r="J175" s="379"/>
    </row>
    <row r="176" spans="2:10" ht="28.5" hidden="1" customHeight="1">
      <c r="B176" s="583"/>
      <c r="C176" s="504" t="s">
        <v>675</v>
      </c>
      <c r="D176" s="521" t="s">
        <v>676</v>
      </c>
      <c r="E176" s="505" t="s">
        <v>156</v>
      </c>
      <c r="F176" s="597"/>
      <c r="H176" s="360"/>
      <c r="I176" s="360"/>
      <c r="J176" s="379"/>
    </row>
    <row r="177" spans="2:10" ht="28.5" hidden="1" customHeight="1">
      <c r="B177" s="583"/>
      <c r="C177" s="502" t="s">
        <v>677</v>
      </c>
      <c r="D177" s="515" t="s">
        <v>678</v>
      </c>
      <c r="E177" s="503" t="s">
        <v>163</v>
      </c>
      <c r="F177" s="596">
        <f>+'F-1'!U64</f>
        <v>1</v>
      </c>
      <c r="H177" s="360"/>
      <c r="I177" s="360"/>
      <c r="J177" s="379"/>
    </row>
    <row r="178" spans="2:10" ht="28.5" hidden="1" customHeight="1">
      <c r="B178" s="583"/>
      <c r="C178" s="502" t="s">
        <v>679</v>
      </c>
      <c r="D178" s="515" t="s">
        <v>680</v>
      </c>
      <c r="E178" s="503" t="s">
        <v>163</v>
      </c>
      <c r="F178" s="596">
        <f>+'F-1'!U65</f>
        <v>1</v>
      </c>
      <c r="H178" s="360"/>
      <c r="I178" s="360"/>
      <c r="J178" s="379"/>
    </row>
    <row r="179" spans="2:10" ht="28.5" hidden="1" customHeight="1">
      <c r="B179" s="584"/>
      <c r="C179" s="502" t="s">
        <v>681</v>
      </c>
      <c r="D179" s="515" t="s">
        <v>682</v>
      </c>
      <c r="E179" s="503" t="s">
        <v>163</v>
      </c>
      <c r="F179" s="596">
        <f>+'F-1'!U66</f>
        <v>1</v>
      </c>
      <c r="H179" s="360"/>
      <c r="I179" s="360"/>
      <c r="J179" s="379"/>
    </row>
    <row r="180" spans="2:10" ht="28.5" hidden="1" customHeight="1">
      <c r="B180" s="583"/>
      <c r="C180" s="504" t="s">
        <v>683</v>
      </c>
      <c r="D180" s="521" t="s">
        <v>1358</v>
      </c>
      <c r="E180" s="505" t="s">
        <v>156</v>
      </c>
      <c r="F180" s="597"/>
      <c r="H180" s="360"/>
      <c r="I180" s="360"/>
      <c r="J180" s="379"/>
    </row>
    <row r="181" spans="2:10" ht="28.5" hidden="1" customHeight="1">
      <c r="B181" s="583"/>
      <c r="C181" s="502" t="s">
        <v>684</v>
      </c>
      <c r="D181" s="515" t="s">
        <v>685</v>
      </c>
      <c r="E181" s="503" t="s">
        <v>161</v>
      </c>
      <c r="F181" s="596">
        <f>+Mejoramientos!K64</f>
        <v>35</v>
      </c>
      <c r="H181" s="360"/>
      <c r="I181" s="360"/>
      <c r="J181" s="379"/>
    </row>
    <row r="182" spans="2:10" ht="28.5" hidden="1" customHeight="1">
      <c r="B182" s="583"/>
      <c r="C182" s="502" t="s">
        <v>686</v>
      </c>
      <c r="D182" s="515" t="s">
        <v>191</v>
      </c>
      <c r="E182" s="503" t="s">
        <v>161</v>
      </c>
      <c r="F182" s="596">
        <f>+Mejoramientos!K65</f>
        <v>35</v>
      </c>
      <c r="H182" s="360"/>
      <c r="I182" s="360"/>
      <c r="J182" s="379"/>
    </row>
    <row r="183" spans="2:10" ht="28.5" hidden="1" customHeight="1">
      <c r="B183" s="583"/>
      <c r="C183" s="502" t="s">
        <v>687</v>
      </c>
      <c r="D183" s="515" t="s">
        <v>187</v>
      </c>
      <c r="E183" s="503" t="s">
        <v>161</v>
      </c>
      <c r="F183" s="596">
        <f>+Mejoramientos!K66</f>
        <v>35</v>
      </c>
      <c r="H183" s="360"/>
      <c r="I183" s="360"/>
      <c r="J183" s="379"/>
    </row>
    <row r="184" spans="2:10" ht="28.5" hidden="1" customHeight="1">
      <c r="B184" s="583"/>
      <c r="C184" s="502" t="s">
        <v>688</v>
      </c>
      <c r="D184" s="515" t="s">
        <v>193</v>
      </c>
      <c r="E184" s="503" t="s">
        <v>161</v>
      </c>
      <c r="F184" s="596">
        <f>+Mejoramientos!K67</f>
        <v>35</v>
      </c>
      <c r="H184" s="360"/>
      <c r="I184" s="360"/>
      <c r="J184" s="379"/>
    </row>
    <row r="185" spans="2:10" ht="28.5" hidden="1" customHeight="1">
      <c r="B185" s="583"/>
      <c r="C185" s="502" t="s">
        <v>689</v>
      </c>
      <c r="D185" s="515" t="s">
        <v>690</v>
      </c>
      <c r="E185" s="503" t="s">
        <v>245</v>
      </c>
      <c r="F185" s="596">
        <f>+Mejoramientos!K68</f>
        <v>19.075000000000003</v>
      </c>
      <c r="H185" s="360"/>
      <c r="I185" s="360"/>
      <c r="J185" s="379"/>
    </row>
    <row r="186" spans="2:10" ht="28.5" hidden="1" customHeight="1">
      <c r="B186" s="583"/>
      <c r="C186" s="502" t="s">
        <v>691</v>
      </c>
      <c r="D186" s="515" t="s">
        <v>194</v>
      </c>
      <c r="E186" s="503" t="s">
        <v>161</v>
      </c>
      <c r="F186" s="596">
        <f>+Mejoramientos!K69</f>
        <v>35</v>
      </c>
      <c r="H186" s="360"/>
      <c r="I186" s="360"/>
      <c r="J186" s="379"/>
    </row>
    <row r="187" spans="2:10" ht="28.5" hidden="1" customHeight="1">
      <c r="B187" s="583"/>
      <c r="C187" s="502" t="s">
        <v>692</v>
      </c>
      <c r="D187" s="515" t="s">
        <v>693</v>
      </c>
      <c r="E187" s="503" t="s">
        <v>161</v>
      </c>
      <c r="F187" s="596">
        <f>+Mejoramientos!K70</f>
        <v>35</v>
      </c>
      <c r="H187" s="360"/>
      <c r="I187" s="360"/>
      <c r="J187" s="379"/>
    </row>
    <row r="188" spans="2:10" ht="28.5" hidden="1" customHeight="1">
      <c r="B188" s="583"/>
      <c r="C188" s="502" t="s">
        <v>694</v>
      </c>
      <c r="D188" s="515" t="s">
        <v>695</v>
      </c>
      <c r="E188" s="503" t="s">
        <v>161</v>
      </c>
      <c r="F188" s="596">
        <f>+Mejoramientos!K71</f>
        <v>35</v>
      </c>
      <c r="H188" s="360"/>
      <c r="I188" s="360"/>
      <c r="J188" s="379"/>
    </row>
    <row r="189" spans="2:10" ht="28.5" hidden="1" customHeight="1">
      <c r="B189" s="583"/>
      <c r="C189" s="502" t="s">
        <v>696</v>
      </c>
      <c r="D189" s="515" t="s">
        <v>697</v>
      </c>
      <c r="E189" s="503" t="s">
        <v>163</v>
      </c>
      <c r="F189" s="596">
        <f>+Mejoramientos!K72</f>
        <v>5</v>
      </c>
      <c r="H189" s="361"/>
      <c r="I189" s="360"/>
      <c r="J189" s="379"/>
    </row>
    <row r="190" spans="2:10" ht="28.5" hidden="1" customHeight="1">
      <c r="B190" s="583"/>
      <c r="C190" s="502" t="s">
        <v>698</v>
      </c>
      <c r="D190" s="515" t="s">
        <v>699</v>
      </c>
      <c r="E190" s="503" t="s">
        <v>163</v>
      </c>
      <c r="F190" s="596">
        <f>+Mejoramientos!K73</f>
        <v>3</v>
      </c>
      <c r="H190" s="360"/>
      <c r="I190" s="360"/>
      <c r="J190" s="379"/>
    </row>
    <row r="191" spans="2:10" ht="28.5" hidden="1" customHeight="1">
      <c r="B191" s="583"/>
      <c r="C191" s="502" t="s">
        <v>700</v>
      </c>
      <c r="D191" s="515" t="s">
        <v>701</v>
      </c>
      <c r="E191" s="503" t="s">
        <v>163</v>
      </c>
      <c r="F191" s="596">
        <f>+Mejoramientos!K74</f>
        <v>4</v>
      </c>
      <c r="H191" s="360"/>
      <c r="I191" s="360"/>
      <c r="J191" s="379"/>
    </row>
    <row r="192" spans="2:10" ht="28.5" hidden="1" customHeight="1">
      <c r="B192" s="583"/>
      <c r="C192" s="502" t="s">
        <v>702</v>
      </c>
      <c r="D192" s="515" t="s">
        <v>703</v>
      </c>
      <c r="E192" s="503" t="s">
        <v>163</v>
      </c>
      <c r="F192" s="596">
        <f>+Mejoramientos!K75</f>
        <v>2</v>
      </c>
      <c r="H192" s="360"/>
      <c r="I192" s="360"/>
      <c r="J192" s="379"/>
    </row>
    <row r="193" spans="2:10" ht="28.5" hidden="1" customHeight="1">
      <c r="B193" s="583"/>
      <c r="C193" s="502" t="s">
        <v>704</v>
      </c>
      <c r="D193" s="515" t="s">
        <v>705</v>
      </c>
      <c r="E193" s="503" t="s">
        <v>163</v>
      </c>
      <c r="F193" s="596">
        <f>+Mejoramientos!K76</f>
        <v>14</v>
      </c>
      <c r="H193" s="360"/>
      <c r="I193" s="360"/>
      <c r="J193" s="379"/>
    </row>
    <row r="194" spans="2:10" ht="28.5" hidden="1" customHeight="1">
      <c r="B194" s="583"/>
      <c r="C194" s="502" t="s">
        <v>706</v>
      </c>
      <c r="D194" s="515" t="s">
        <v>707</v>
      </c>
      <c r="E194" s="503" t="s">
        <v>161</v>
      </c>
      <c r="F194" s="596">
        <f>+Mejoramientos!K77</f>
        <v>35</v>
      </c>
      <c r="H194" s="360"/>
      <c r="I194" s="360"/>
      <c r="J194" s="379"/>
    </row>
    <row r="195" spans="2:10" ht="28.5" hidden="1" customHeight="1">
      <c r="B195" s="584"/>
      <c r="C195" s="502" t="s">
        <v>708</v>
      </c>
      <c r="D195" s="515" t="s">
        <v>709</v>
      </c>
      <c r="E195" s="503" t="s">
        <v>163</v>
      </c>
      <c r="F195" s="596">
        <f>+Mejoramientos!K78</f>
        <v>2</v>
      </c>
      <c r="H195" s="360"/>
      <c r="I195" s="360"/>
      <c r="J195" s="379"/>
    </row>
    <row r="196" spans="2:10" ht="28.5" hidden="1" customHeight="1">
      <c r="B196" s="583"/>
      <c r="C196" s="504" t="s">
        <v>710</v>
      </c>
      <c r="D196" s="521" t="s">
        <v>711</v>
      </c>
      <c r="E196" s="505" t="s">
        <v>156</v>
      </c>
      <c r="F196" s="597"/>
      <c r="H196" s="360"/>
      <c r="I196" s="360"/>
      <c r="J196" s="379"/>
    </row>
    <row r="197" spans="2:10" ht="28.5" hidden="1" customHeight="1">
      <c r="B197" s="583"/>
      <c r="C197" s="502" t="s">
        <v>712</v>
      </c>
      <c r="D197" s="515" t="s">
        <v>685</v>
      </c>
      <c r="E197" s="503" t="s">
        <v>161</v>
      </c>
      <c r="F197" s="596">
        <f>+Mejoramientos!K80</f>
        <v>35</v>
      </c>
      <c r="H197" s="360"/>
      <c r="I197" s="360"/>
      <c r="J197" s="379"/>
    </row>
    <row r="198" spans="2:10" ht="28.5" hidden="1" customHeight="1">
      <c r="B198" s="583"/>
      <c r="C198" s="502" t="s">
        <v>713</v>
      </c>
      <c r="D198" s="515" t="s">
        <v>714</v>
      </c>
      <c r="E198" s="503" t="s">
        <v>163</v>
      </c>
      <c r="F198" s="596">
        <f>+Mejoramientos!K81</f>
        <v>1</v>
      </c>
      <c r="H198" s="360"/>
      <c r="I198" s="360"/>
      <c r="J198" s="379"/>
    </row>
    <row r="199" spans="2:10" ht="28.5" hidden="1" customHeight="1">
      <c r="B199" s="583"/>
      <c r="C199" s="502" t="s">
        <v>715</v>
      </c>
      <c r="D199" s="515" t="s">
        <v>716</v>
      </c>
      <c r="E199" s="503" t="s">
        <v>245</v>
      </c>
      <c r="F199" s="596">
        <f>+Mejoramientos!K82</f>
        <v>1.8</v>
      </c>
      <c r="H199" s="360"/>
      <c r="I199" s="360"/>
      <c r="J199" s="379"/>
    </row>
    <row r="200" spans="2:10" ht="28.5" hidden="1" customHeight="1">
      <c r="B200" s="583"/>
      <c r="C200" s="502" t="s">
        <v>717</v>
      </c>
      <c r="D200" s="515" t="s">
        <v>186</v>
      </c>
      <c r="E200" s="503" t="s">
        <v>161</v>
      </c>
      <c r="F200" s="596">
        <f>+Mejoramientos!K83</f>
        <v>35</v>
      </c>
      <c r="H200" s="360"/>
      <c r="I200" s="360"/>
      <c r="J200" s="379"/>
    </row>
    <row r="201" spans="2:10" ht="28.5" hidden="1" customHeight="1">
      <c r="B201" s="583"/>
      <c r="C201" s="502" t="s">
        <v>718</v>
      </c>
      <c r="D201" s="515" t="s">
        <v>187</v>
      </c>
      <c r="E201" s="503" t="s">
        <v>161</v>
      </c>
      <c r="F201" s="596">
        <f>+Mejoramientos!K84</f>
        <v>35</v>
      </c>
      <c r="H201" s="360"/>
      <c r="I201" s="360"/>
      <c r="J201" s="379"/>
    </row>
    <row r="202" spans="2:10" ht="28.5" hidden="1" customHeight="1">
      <c r="B202" s="583"/>
      <c r="C202" s="502" t="s">
        <v>719</v>
      </c>
      <c r="D202" s="515" t="s">
        <v>188</v>
      </c>
      <c r="E202" s="503" t="s">
        <v>161</v>
      </c>
      <c r="F202" s="596">
        <f>+Mejoramientos!K85</f>
        <v>35</v>
      </c>
      <c r="H202" s="360"/>
      <c r="I202" s="360"/>
      <c r="J202" s="379"/>
    </row>
    <row r="203" spans="2:10" ht="28.5" hidden="1" customHeight="1">
      <c r="B203" s="583"/>
      <c r="C203" s="502" t="s">
        <v>720</v>
      </c>
      <c r="D203" s="515" t="s">
        <v>189</v>
      </c>
      <c r="E203" s="503" t="s">
        <v>161</v>
      </c>
      <c r="F203" s="596">
        <f>+Mejoramientos!K86</f>
        <v>35</v>
      </c>
      <c r="H203" s="360"/>
      <c r="I203" s="360"/>
      <c r="J203" s="379"/>
    </row>
    <row r="204" spans="2:10" ht="28.5" hidden="1" customHeight="1">
      <c r="B204" s="583"/>
      <c r="C204" s="502" t="s">
        <v>721</v>
      </c>
      <c r="D204" s="515" t="s">
        <v>690</v>
      </c>
      <c r="E204" s="503" t="s">
        <v>245</v>
      </c>
      <c r="F204" s="596">
        <f>+Mejoramientos!K87</f>
        <v>26.25</v>
      </c>
      <c r="H204" s="358"/>
      <c r="I204" s="360"/>
      <c r="J204" s="379"/>
    </row>
    <row r="205" spans="2:10" ht="28.5" hidden="1" customHeight="1">
      <c r="B205" s="583"/>
      <c r="C205" s="502" t="s">
        <v>722</v>
      </c>
      <c r="D205" s="515" t="s">
        <v>174</v>
      </c>
      <c r="E205" s="503" t="s">
        <v>161</v>
      </c>
      <c r="F205" s="596">
        <f>+Mejoramientos!K88</f>
        <v>35</v>
      </c>
      <c r="H205" s="359"/>
      <c r="I205" s="360"/>
      <c r="J205" s="379"/>
    </row>
    <row r="206" spans="2:10" ht="28.5" hidden="1" customHeight="1">
      <c r="B206" s="583"/>
      <c r="C206" s="502" t="s">
        <v>723</v>
      </c>
      <c r="D206" s="515" t="s">
        <v>175</v>
      </c>
      <c r="E206" s="503" t="s">
        <v>161</v>
      </c>
      <c r="F206" s="596">
        <f>+Mejoramientos!K89</f>
        <v>35</v>
      </c>
      <c r="H206" s="360"/>
      <c r="I206" s="360"/>
      <c r="J206" s="379"/>
    </row>
    <row r="207" spans="2:10" ht="28.5" hidden="1" customHeight="1">
      <c r="B207" s="583"/>
      <c r="C207" s="502" t="s">
        <v>724</v>
      </c>
      <c r="D207" s="515" t="s">
        <v>725</v>
      </c>
      <c r="E207" s="503" t="s">
        <v>163</v>
      </c>
      <c r="F207" s="596">
        <f>+Mejoramientos!K90</f>
        <v>4</v>
      </c>
      <c r="H207" s="360"/>
      <c r="I207" s="360"/>
      <c r="J207" s="379"/>
    </row>
    <row r="208" spans="2:10" ht="28.5" hidden="1" customHeight="1">
      <c r="B208" s="583"/>
      <c r="C208" s="502" t="s">
        <v>726</v>
      </c>
      <c r="D208" s="515" t="s">
        <v>176</v>
      </c>
      <c r="E208" s="503" t="s">
        <v>161</v>
      </c>
      <c r="F208" s="596">
        <f>+Mejoramientos!K91</f>
        <v>35</v>
      </c>
      <c r="H208" s="360"/>
      <c r="I208" s="360"/>
      <c r="J208" s="379"/>
    </row>
    <row r="209" spans="2:10" ht="28.5" hidden="1" customHeight="1">
      <c r="B209" s="583"/>
      <c r="C209" s="502" t="s">
        <v>727</v>
      </c>
      <c r="D209" s="515" t="s">
        <v>1359</v>
      </c>
      <c r="E209" s="503" t="s">
        <v>161</v>
      </c>
      <c r="F209" s="596">
        <f>+Mejoramientos!K92</f>
        <v>1</v>
      </c>
      <c r="H209" s="360"/>
      <c r="I209" s="360"/>
      <c r="J209" s="379"/>
    </row>
    <row r="210" spans="2:10" ht="28.5" hidden="1" customHeight="1">
      <c r="B210" s="581"/>
      <c r="C210" s="502" t="s">
        <v>729</v>
      </c>
      <c r="D210" s="515" t="s">
        <v>728</v>
      </c>
      <c r="E210" s="503" t="s">
        <v>163</v>
      </c>
      <c r="F210" s="596">
        <f>+Mejoramientos!K93</f>
        <v>2</v>
      </c>
      <c r="H210" s="360"/>
      <c r="I210" s="360"/>
      <c r="J210" s="379"/>
    </row>
    <row r="211" spans="2:10" ht="28.5" hidden="1" customHeight="1">
      <c r="C211" s="502" t="s">
        <v>1360</v>
      </c>
      <c r="D211" s="515" t="s">
        <v>730</v>
      </c>
      <c r="E211" s="503" t="s">
        <v>163</v>
      </c>
      <c r="F211" s="596">
        <f>+Mejoramientos!K94</f>
        <v>1</v>
      </c>
      <c r="H211" s="360"/>
      <c r="I211" s="360"/>
      <c r="J211" s="379"/>
    </row>
    <row r="212" spans="2:10" ht="28.5" hidden="1" customHeight="1">
      <c r="B212" s="582"/>
      <c r="C212" s="510" t="s">
        <v>391</v>
      </c>
      <c r="D212" s="524" t="s">
        <v>731</v>
      </c>
      <c r="E212" s="511" t="s">
        <v>156</v>
      </c>
      <c r="F212" s="599"/>
      <c r="H212" s="360"/>
      <c r="I212" s="360"/>
      <c r="J212" s="379"/>
    </row>
    <row r="213" spans="2:10" ht="28.5" hidden="1" customHeight="1">
      <c r="B213" s="583"/>
      <c r="C213" s="500" t="s">
        <v>393</v>
      </c>
      <c r="D213" s="520" t="s">
        <v>1220</v>
      </c>
      <c r="E213" s="501" t="s">
        <v>156</v>
      </c>
      <c r="F213" s="595"/>
      <c r="H213" s="359"/>
      <c r="I213" s="360"/>
      <c r="J213" s="379"/>
    </row>
    <row r="214" spans="2:10" ht="28.5" hidden="1" customHeight="1">
      <c r="B214" s="583"/>
      <c r="C214" s="502" t="s">
        <v>394</v>
      </c>
      <c r="D214" s="515" t="s">
        <v>395</v>
      </c>
      <c r="E214" s="503" t="s">
        <v>163</v>
      </c>
      <c r="F214" s="596">
        <v>1</v>
      </c>
      <c r="H214" s="361"/>
      <c r="I214" s="360"/>
      <c r="J214" s="379"/>
    </row>
    <row r="215" spans="2:10" ht="28.5" hidden="1" customHeight="1">
      <c r="B215" s="583"/>
      <c r="C215" s="502" t="s">
        <v>396</v>
      </c>
      <c r="D215" s="515" t="s">
        <v>397</v>
      </c>
      <c r="E215" s="503" t="s">
        <v>163</v>
      </c>
      <c r="F215" s="596">
        <v>1</v>
      </c>
      <c r="H215" s="360"/>
      <c r="I215" s="360"/>
      <c r="J215" s="379"/>
    </row>
    <row r="216" spans="2:10" ht="28.5" hidden="1" customHeight="1">
      <c r="B216" s="583"/>
      <c r="C216" s="502" t="s">
        <v>398</v>
      </c>
      <c r="D216" s="515" t="s">
        <v>170</v>
      </c>
      <c r="E216" s="503" t="s">
        <v>163</v>
      </c>
      <c r="F216" s="596">
        <v>1</v>
      </c>
      <c r="H216" s="360"/>
      <c r="I216" s="360"/>
      <c r="J216" s="379"/>
    </row>
    <row r="217" spans="2:10" ht="28.5" hidden="1" customHeight="1">
      <c r="B217" s="583"/>
      <c r="C217" s="502" t="s">
        <v>399</v>
      </c>
      <c r="D217" s="515" t="s">
        <v>400</v>
      </c>
      <c r="E217" s="503" t="s">
        <v>402</v>
      </c>
      <c r="F217" s="596">
        <v>1</v>
      </c>
      <c r="H217" s="360"/>
      <c r="I217" s="360"/>
      <c r="J217" s="379"/>
    </row>
    <row r="218" spans="2:10" ht="28.5" hidden="1" customHeight="1">
      <c r="B218" s="582"/>
      <c r="C218" s="502" t="s">
        <v>401</v>
      </c>
      <c r="D218" s="515" t="s">
        <v>1247</v>
      </c>
      <c r="E218" s="503" t="s">
        <v>402</v>
      </c>
      <c r="F218" s="596">
        <v>1</v>
      </c>
      <c r="H218" s="360"/>
      <c r="I218" s="360"/>
      <c r="J218" s="379"/>
    </row>
    <row r="219" spans="2:10" ht="28.5" hidden="1" customHeight="1">
      <c r="B219" s="583"/>
      <c r="C219" s="500" t="s">
        <v>404</v>
      </c>
      <c r="D219" s="520" t="s">
        <v>1248</v>
      </c>
      <c r="E219" s="501" t="s">
        <v>156</v>
      </c>
      <c r="F219" s="595"/>
      <c r="H219" s="360"/>
      <c r="I219" s="360"/>
      <c r="J219" s="379"/>
    </row>
    <row r="220" spans="2:10" ht="28.5" hidden="1" customHeight="1">
      <c r="B220" s="583"/>
      <c r="C220" s="504" t="s">
        <v>405</v>
      </c>
      <c r="D220" s="521" t="s">
        <v>173</v>
      </c>
      <c r="E220" s="505" t="s">
        <v>156</v>
      </c>
      <c r="F220" s="597"/>
      <c r="H220" s="360"/>
      <c r="I220" s="360"/>
      <c r="J220" s="379"/>
    </row>
    <row r="221" spans="2:10" ht="28.5" hidden="1" customHeight="1">
      <c r="B221" s="583"/>
      <c r="C221" s="502" t="s">
        <v>406</v>
      </c>
      <c r="D221" s="515" t="s">
        <v>157</v>
      </c>
      <c r="E221" s="503" t="s">
        <v>158</v>
      </c>
      <c r="F221" s="596">
        <f>+F230/1000</f>
        <v>1.2427300000000001</v>
      </c>
      <c r="H221" s="360"/>
      <c r="I221" s="360"/>
      <c r="J221" s="379"/>
    </row>
    <row r="222" spans="2:10" ht="28.5" hidden="1" customHeight="1">
      <c r="B222" s="583"/>
      <c r="C222" s="502" t="s">
        <v>407</v>
      </c>
      <c r="D222" s="515" t="s">
        <v>159</v>
      </c>
      <c r="E222" s="503" t="s">
        <v>158</v>
      </c>
      <c r="F222" s="596">
        <f>+F230/1000</f>
        <v>1.2427300000000001</v>
      </c>
      <c r="H222" s="360"/>
      <c r="I222" s="360"/>
      <c r="J222" s="379"/>
    </row>
    <row r="223" spans="2:10" ht="28.5" hidden="1" customHeight="1">
      <c r="B223" s="583"/>
      <c r="C223" s="502" t="s">
        <v>408</v>
      </c>
      <c r="D223" s="587" t="s">
        <v>1223</v>
      </c>
      <c r="E223" s="503" t="s">
        <v>163</v>
      </c>
      <c r="F223" s="596">
        <v>12</v>
      </c>
      <c r="H223" s="360"/>
      <c r="I223" s="360"/>
      <c r="J223" s="379"/>
    </row>
    <row r="224" spans="2:10" ht="28.5" hidden="1" customHeight="1">
      <c r="B224" s="583"/>
      <c r="C224" s="502" t="s">
        <v>410</v>
      </c>
      <c r="D224" s="587" t="s">
        <v>1224</v>
      </c>
      <c r="E224" s="503" t="s">
        <v>163</v>
      </c>
      <c r="F224" s="596">
        <v>12</v>
      </c>
      <c r="H224" s="360"/>
      <c r="I224" s="360"/>
      <c r="J224" s="379"/>
    </row>
    <row r="225" spans="2:10" ht="28.5" hidden="1" customHeight="1">
      <c r="B225" s="583"/>
      <c r="C225" s="502" t="s">
        <v>411</v>
      </c>
      <c r="D225" s="587" t="s">
        <v>1225</v>
      </c>
      <c r="E225" s="503" t="s">
        <v>163</v>
      </c>
      <c r="F225" s="596">
        <v>6</v>
      </c>
      <c r="H225" s="360"/>
      <c r="I225" s="360"/>
      <c r="J225" s="379"/>
    </row>
    <row r="226" spans="2:10" ht="28.5" hidden="1" customHeight="1">
      <c r="B226" s="583"/>
      <c r="C226" s="502" t="s">
        <v>412</v>
      </c>
      <c r="D226" s="587" t="s">
        <v>1226</v>
      </c>
      <c r="E226" s="503" t="s">
        <v>163</v>
      </c>
      <c r="F226" s="596">
        <v>6</v>
      </c>
      <c r="H226" s="361"/>
      <c r="I226" s="360"/>
      <c r="J226" s="379"/>
    </row>
    <row r="227" spans="2:10" ht="28.5" hidden="1" customHeight="1">
      <c r="B227" s="583"/>
      <c r="C227" s="502" t="s">
        <v>413</v>
      </c>
      <c r="D227" s="587" t="s">
        <v>1227</v>
      </c>
      <c r="E227" s="503" t="s">
        <v>163</v>
      </c>
      <c r="F227" s="596">
        <v>4</v>
      </c>
      <c r="H227" s="360"/>
      <c r="I227" s="360"/>
      <c r="J227" s="379"/>
    </row>
    <row r="228" spans="2:10" ht="28.5" hidden="1" customHeight="1">
      <c r="B228" s="583"/>
      <c r="C228" s="502" t="s">
        <v>415</v>
      </c>
      <c r="D228" s="515" t="s">
        <v>409</v>
      </c>
      <c r="E228" s="503" t="s">
        <v>161</v>
      </c>
      <c r="F228" s="596">
        <f>+F230*2</f>
        <v>2485.46</v>
      </c>
      <c r="H228" s="360"/>
      <c r="I228" s="360"/>
      <c r="J228" s="379"/>
    </row>
    <row r="229" spans="2:10" ht="28.5" hidden="1" customHeight="1">
      <c r="B229" s="583"/>
      <c r="C229" s="502" t="s">
        <v>417</v>
      </c>
      <c r="D229" s="515" t="s">
        <v>162</v>
      </c>
      <c r="E229" s="503" t="s">
        <v>161</v>
      </c>
      <c r="F229" s="596">
        <f>+F230*2</f>
        <v>2485.46</v>
      </c>
      <c r="H229" s="360"/>
      <c r="I229" s="360"/>
      <c r="J229" s="379"/>
    </row>
    <row r="230" spans="2:10" ht="28.5" hidden="1" customHeight="1">
      <c r="B230" s="583"/>
      <c r="C230" s="502" t="s">
        <v>419</v>
      </c>
      <c r="D230" s="515" t="s">
        <v>160</v>
      </c>
      <c r="E230" s="503" t="s">
        <v>161</v>
      </c>
      <c r="F230" s="596">
        <f>+'F-2'!L36</f>
        <v>1242.73</v>
      </c>
      <c r="H230" s="360"/>
      <c r="I230" s="360"/>
      <c r="J230" s="379"/>
    </row>
    <row r="231" spans="2:10" ht="28.5" hidden="1" customHeight="1">
      <c r="B231" s="583"/>
      <c r="C231" s="502" t="s">
        <v>421</v>
      </c>
      <c r="D231" s="515" t="s">
        <v>732</v>
      </c>
      <c r="E231" s="503" t="s">
        <v>161</v>
      </c>
      <c r="F231" s="596">
        <f>+Mejoramientos!K98</f>
        <v>200.79999999999995</v>
      </c>
      <c r="H231" s="360"/>
      <c r="I231" s="360"/>
      <c r="J231" s="379"/>
    </row>
    <row r="232" spans="2:10" ht="28.5" hidden="1" customHeight="1">
      <c r="B232" s="583"/>
      <c r="C232" s="502" t="s">
        <v>423</v>
      </c>
      <c r="D232" s="515" t="s">
        <v>414</v>
      </c>
      <c r="E232" s="503" t="s">
        <v>163</v>
      </c>
      <c r="F232" s="596">
        <f>+Mejoramientos!K107</f>
        <v>15</v>
      </c>
      <c r="H232" s="360"/>
      <c r="I232" s="360"/>
      <c r="J232" s="379"/>
    </row>
    <row r="233" spans="2:10" ht="28.5" hidden="1" customHeight="1">
      <c r="B233" s="583"/>
      <c r="C233" s="502" t="s">
        <v>425</v>
      </c>
      <c r="D233" s="515" t="s">
        <v>416</v>
      </c>
      <c r="E233" s="503" t="s">
        <v>163</v>
      </c>
      <c r="F233" s="596">
        <f>+Mejoramientos!K108</f>
        <v>16</v>
      </c>
      <c r="H233" s="360"/>
      <c r="I233" s="360"/>
      <c r="J233" s="379"/>
    </row>
    <row r="234" spans="2:10" ht="28.5" hidden="1" customHeight="1">
      <c r="B234" s="583"/>
      <c r="C234" s="502" t="s">
        <v>427</v>
      </c>
      <c r="D234" s="515" t="s">
        <v>420</v>
      </c>
      <c r="E234" s="503" t="s">
        <v>163</v>
      </c>
      <c r="F234" s="596">
        <f>+Mejoramientos!K109</f>
        <v>31</v>
      </c>
      <c r="H234" s="360"/>
      <c r="I234" s="360"/>
      <c r="J234" s="379"/>
    </row>
    <row r="235" spans="2:10" ht="28.5" hidden="1" customHeight="1">
      <c r="B235" s="583"/>
      <c r="C235" s="502" t="s">
        <v>1228</v>
      </c>
      <c r="D235" s="515" t="s">
        <v>422</v>
      </c>
      <c r="E235" s="503" t="s">
        <v>163</v>
      </c>
      <c r="F235" s="596">
        <f>+Mejoramientos!K110</f>
        <v>29</v>
      </c>
      <c r="H235" s="360"/>
      <c r="I235" s="360"/>
      <c r="J235" s="379"/>
    </row>
    <row r="236" spans="2:10" ht="28.5" hidden="1" customHeight="1">
      <c r="B236" s="583"/>
      <c r="C236" s="502" t="s">
        <v>1229</v>
      </c>
      <c r="D236" s="515" t="s">
        <v>428</v>
      </c>
      <c r="E236" s="503" t="s">
        <v>163</v>
      </c>
      <c r="F236" s="596">
        <f>+Mejoramientos!K111</f>
        <v>12</v>
      </c>
      <c r="H236" s="360"/>
      <c r="I236" s="360"/>
      <c r="J236" s="379"/>
    </row>
    <row r="237" spans="2:10" ht="28.5" hidden="1" customHeight="1">
      <c r="B237" s="584"/>
      <c r="C237" s="502" t="s">
        <v>1230</v>
      </c>
      <c r="D237" s="515" t="s">
        <v>424</v>
      </c>
      <c r="E237" s="503" t="s">
        <v>163</v>
      </c>
      <c r="F237" s="596">
        <f>+Mejoramientos!K112</f>
        <v>5</v>
      </c>
      <c r="H237" s="360"/>
      <c r="I237" s="360"/>
      <c r="J237" s="379"/>
    </row>
    <row r="238" spans="2:10" ht="28.5" hidden="1" customHeight="1">
      <c r="B238" s="583"/>
      <c r="C238" s="502" t="s">
        <v>1232</v>
      </c>
      <c r="D238" s="515" t="s">
        <v>426</v>
      </c>
      <c r="E238" s="503" t="s">
        <v>163</v>
      </c>
      <c r="F238" s="596">
        <f>+Mejoramientos!K113</f>
        <v>1</v>
      </c>
      <c r="H238" s="360"/>
      <c r="I238" s="360"/>
      <c r="J238" s="379"/>
    </row>
    <row r="239" spans="2:10" ht="28.5" hidden="1" customHeight="1">
      <c r="B239" s="583"/>
      <c r="C239" s="504" t="s">
        <v>429</v>
      </c>
      <c r="D239" s="521" t="s">
        <v>164</v>
      </c>
      <c r="E239" s="505" t="s">
        <v>156</v>
      </c>
      <c r="F239" s="597"/>
      <c r="H239" s="360"/>
      <c r="I239" s="360"/>
      <c r="J239" s="379"/>
    </row>
    <row r="240" spans="2:10" ht="28.5" hidden="1" customHeight="1">
      <c r="B240" s="583"/>
      <c r="C240" s="502" t="s">
        <v>430</v>
      </c>
      <c r="D240" s="515" t="s">
        <v>733</v>
      </c>
      <c r="E240" s="503" t="s">
        <v>161</v>
      </c>
      <c r="F240" s="596">
        <f>+'F-2'!Z36</f>
        <v>8.6300000000000008</v>
      </c>
      <c r="H240" s="360"/>
      <c r="I240" s="360"/>
      <c r="J240" s="379"/>
    </row>
    <row r="241" spans="2:10" ht="28.5" hidden="1" customHeight="1">
      <c r="B241" s="583"/>
      <c r="C241" s="502" t="s">
        <v>432</v>
      </c>
      <c r="D241" s="515" t="s">
        <v>734</v>
      </c>
      <c r="E241" s="503" t="s">
        <v>161</v>
      </c>
      <c r="F241" s="596">
        <f>+'F-2'!AA36</f>
        <v>56.93</v>
      </c>
      <c r="H241" s="360"/>
      <c r="I241" s="360"/>
      <c r="J241" s="379"/>
    </row>
    <row r="242" spans="2:10" ht="28.5" hidden="1" customHeight="1">
      <c r="B242" s="583"/>
      <c r="C242" s="502" t="s">
        <v>433</v>
      </c>
      <c r="D242" s="515" t="s">
        <v>735</v>
      </c>
      <c r="E242" s="503" t="s">
        <v>161</v>
      </c>
      <c r="F242" s="596">
        <f>+'F-2'!AB36</f>
        <v>413.42</v>
      </c>
      <c r="H242" s="360"/>
      <c r="I242" s="360"/>
      <c r="J242" s="379"/>
    </row>
    <row r="243" spans="2:10" ht="28.5" hidden="1" customHeight="1">
      <c r="B243" s="583"/>
      <c r="C243" s="502" t="s">
        <v>434</v>
      </c>
      <c r="D243" s="515" t="s">
        <v>736</v>
      </c>
      <c r="E243" s="503" t="s">
        <v>161</v>
      </c>
      <c r="F243" s="596">
        <f>+'F-2'!AC36</f>
        <v>522.76</v>
      </c>
      <c r="H243" s="360"/>
      <c r="I243" s="360"/>
      <c r="J243" s="379"/>
    </row>
    <row r="244" spans="2:10" ht="28.5" hidden="1" customHeight="1">
      <c r="B244" s="583"/>
      <c r="C244" s="502" t="s">
        <v>436</v>
      </c>
      <c r="D244" s="515" t="s">
        <v>737</v>
      </c>
      <c r="E244" s="503" t="s">
        <v>161</v>
      </c>
      <c r="F244" s="596">
        <f>+'F-2'!AD36</f>
        <v>45.58</v>
      </c>
      <c r="H244" s="360"/>
      <c r="I244" s="360"/>
      <c r="J244" s="379"/>
    </row>
    <row r="245" spans="2:10" ht="28.5" hidden="1" customHeight="1">
      <c r="B245" s="583"/>
      <c r="C245" s="502" t="s">
        <v>438</v>
      </c>
      <c r="D245" s="515" t="s">
        <v>738</v>
      </c>
      <c r="E245" s="503" t="s">
        <v>161</v>
      </c>
      <c r="F245" s="596">
        <f>+'F-2'!AS36</f>
        <v>10.74</v>
      </c>
      <c r="H245" s="360"/>
      <c r="I245" s="360"/>
      <c r="J245" s="379"/>
    </row>
    <row r="246" spans="2:10" ht="28.5" hidden="1" customHeight="1">
      <c r="B246" s="583"/>
      <c r="C246" s="502" t="s">
        <v>440</v>
      </c>
      <c r="D246" s="515" t="s">
        <v>739</v>
      </c>
      <c r="E246" s="503" t="s">
        <v>161</v>
      </c>
      <c r="F246" s="596">
        <f>+'F-2'!AU36</f>
        <v>27.4</v>
      </c>
      <c r="H246" s="360"/>
      <c r="I246" s="360"/>
      <c r="J246" s="379"/>
    </row>
    <row r="247" spans="2:10" ht="28.5" hidden="1" customHeight="1">
      <c r="B247" s="583"/>
      <c r="C247" s="502" t="s">
        <v>442</v>
      </c>
      <c r="D247" s="515" t="s">
        <v>740</v>
      </c>
      <c r="E247" s="503" t="s">
        <v>161</v>
      </c>
      <c r="F247" s="596">
        <f>+'F-2'!AV36</f>
        <v>100.02000000000001</v>
      </c>
      <c r="H247" s="360"/>
      <c r="I247" s="360"/>
      <c r="J247" s="379"/>
    </row>
    <row r="248" spans="2:10" ht="28.5" hidden="1" customHeight="1">
      <c r="B248" s="583"/>
      <c r="C248" s="502" t="s">
        <v>444</v>
      </c>
      <c r="D248" s="515" t="s">
        <v>741</v>
      </c>
      <c r="E248" s="503" t="s">
        <v>161</v>
      </c>
      <c r="F248" s="596">
        <f>+'F-2'!AW36</f>
        <v>33.47</v>
      </c>
      <c r="H248" s="360"/>
      <c r="I248" s="360"/>
      <c r="J248" s="379"/>
    </row>
    <row r="249" spans="2:10" ht="28.5" hidden="1" customHeight="1">
      <c r="B249" s="583"/>
      <c r="C249" s="502" t="s">
        <v>446</v>
      </c>
      <c r="D249" s="515" t="s">
        <v>742</v>
      </c>
      <c r="E249" s="503" t="s">
        <v>161</v>
      </c>
      <c r="F249" s="596">
        <f>+'F-2'!AX36</f>
        <v>15.35</v>
      </c>
      <c r="H249" s="360"/>
      <c r="I249" s="360"/>
      <c r="J249" s="379"/>
    </row>
    <row r="250" spans="2:10" ht="28.5" hidden="1" customHeight="1">
      <c r="B250" s="583"/>
      <c r="C250" s="502" t="s">
        <v>448</v>
      </c>
      <c r="D250" s="515" t="s">
        <v>743</v>
      </c>
      <c r="E250" s="503" t="s">
        <v>161</v>
      </c>
      <c r="F250" s="596">
        <f>+'F-2'!AY36</f>
        <v>8.43</v>
      </c>
      <c r="H250" s="360"/>
      <c r="I250" s="360"/>
      <c r="J250" s="379"/>
    </row>
    <row r="251" spans="2:10" ht="28.5" hidden="1" customHeight="1">
      <c r="B251" s="583"/>
      <c r="C251" s="502" t="s">
        <v>450</v>
      </c>
      <c r="D251" s="515" t="s">
        <v>744</v>
      </c>
      <c r="E251" s="503" t="s">
        <v>161</v>
      </c>
      <c r="F251" s="596">
        <f>SUM(F240:F244)</f>
        <v>1047.32</v>
      </c>
      <c r="H251" s="360"/>
      <c r="I251" s="360"/>
      <c r="J251" s="379"/>
    </row>
    <row r="252" spans="2:10" ht="28.5" hidden="1" customHeight="1">
      <c r="B252" s="583"/>
      <c r="C252" s="502" t="s">
        <v>452</v>
      </c>
      <c r="D252" s="515" t="s">
        <v>745</v>
      </c>
      <c r="E252" s="503" t="s">
        <v>161</v>
      </c>
      <c r="F252" s="596">
        <f>SUM(F245:F250)</f>
        <v>195.41000000000003</v>
      </c>
      <c r="H252" s="360"/>
      <c r="I252" s="360"/>
      <c r="J252" s="379"/>
    </row>
    <row r="253" spans="2:10" ht="28.5" hidden="1" customHeight="1">
      <c r="B253" s="583"/>
      <c r="C253" s="502" t="s">
        <v>454</v>
      </c>
      <c r="D253" s="515" t="s">
        <v>746</v>
      </c>
      <c r="E253" s="503" t="s">
        <v>161</v>
      </c>
      <c r="F253" s="596">
        <f>+F240</f>
        <v>8.6300000000000008</v>
      </c>
      <c r="H253" s="360"/>
      <c r="I253" s="360"/>
      <c r="J253" s="379"/>
    </row>
    <row r="254" spans="2:10" ht="28.5" hidden="1" customHeight="1">
      <c r="B254" s="583"/>
      <c r="C254" s="502" t="s">
        <v>456</v>
      </c>
      <c r="D254" s="515" t="s">
        <v>747</v>
      </c>
      <c r="E254" s="503" t="s">
        <v>161</v>
      </c>
      <c r="F254" s="596">
        <f t="shared" ref="F254:F263" si="3">+F241</f>
        <v>56.93</v>
      </c>
      <c r="H254" s="360"/>
      <c r="I254" s="360"/>
      <c r="J254" s="379"/>
    </row>
    <row r="255" spans="2:10" ht="28.5" hidden="1" customHeight="1">
      <c r="B255" s="583"/>
      <c r="C255" s="502" t="s">
        <v>458</v>
      </c>
      <c r="D255" s="515" t="s">
        <v>748</v>
      </c>
      <c r="E255" s="503" t="s">
        <v>161</v>
      </c>
      <c r="F255" s="596">
        <f t="shared" si="3"/>
        <v>413.42</v>
      </c>
      <c r="H255" s="360"/>
      <c r="I255" s="360"/>
      <c r="J255" s="379"/>
    </row>
    <row r="256" spans="2:10" ht="28.5" hidden="1" customHeight="1">
      <c r="B256" s="583"/>
      <c r="C256" s="502" t="s">
        <v>460</v>
      </c>
      <c r="D256" s="515" t="s">
        <v>749</v>
      </c>
      <c r="E256" s="503" t="s">
        <v>161</v>
      </c>
      <c r="F256" s="596">
        <f t="shared" si="3"/>
        <v>522.76</v>
      </c>
      <c r="H256" s="360"/>
      <c r="I256" s="360"/>
      <c r="J256" s="379"/>
    </row>
    <row r="257" spans="2:10" ht="28.5" hidden="1" customHeight="1">
      <c r="B257" s="583"/>
      <c r="C257" s="502" t="s">
        <v>462</v>
      </c>
      <c r="D257" s="515" t="s">
        <v>750</v>
      </c>
      <c r="E257" s="503" t="s">
        <v>161</v>
      </c>
      <c r="F257" s="596">
        <f t="shared" si="3"/>
        <v>45.58</v>
      </c>
      <c r="H257" s="360"/>
      <c r="I257" s="360"/>
      <c r="J257" s="379"/>
    </row>
    <row r="258" spans="2:10" ht="28.5" hidden="1" customHeight="1">
      <c r="B258" s="583"/>
      <c r="C258" s="502" t="s">
        <v>464</v>
      </c>
      <c r="D258" s="515" t="s">
        <v>751</v>
      </c>
      <c r="E258" s="503" t="s">
        <v>161</v>
      </c>
      <c r="F258" s="596">
        <f t="shared" si="3"/>
        <v>10.74</v>
      </c>
      <c r="H258" s="360"/>
      <c r="I258" s="360"/>
      <c r="J258" s="379"/>
    </row>
    <row r="259" spans="2:10" ht="28.5" hidden="1" customHeight="1">
      <c r="B259" s="583"/>
      <c r="C259" s="502" t="s">
        <v>466</v>
      </c>
      <c r="D259" s="515" t="s">
        <v>752</v>
      </c>
      <c r="E259" s="503" t="s">
        <v>161</v>
      </c>
      <c r="F259" s="596">
        <f t="shared" si="3"/>
        <v>27.4</v>
      </c>
      <c r="H259" s="361"/>
      <c r="I259" s="360"/>
      <c r="J259" s="379"/>
    </row>
    <row r="260" spans="2:10" ht="28.5" hidden="1" customHeight="1">
      <c r="B260" s="583"/>
      <c r="C260" s="502" t="s">
        <v>468</v>
      </c>
      <c r="D260" s="515" t="s">
        <v>753</v>
      </c>
      <c r="E260" s="503" t="s">
        <v>161</v>
      </c>
      <c r="F260" s="596">
        <f t="shared" si="3"/>
        <v>100.02000000000001</v>
      </c>
      <c r="H260" s="360"/>
      <c r="I260" s="360"/>
      <c r="J260" s="379"/>
    </row>
    <row r="261" spans="2:10" ht="28.5" hidden="1" customHeight="1">
      <c r="B261" s="583"/>
      <c r="C261" s="502" t="s">
        <v>470</v>
      </c>
      <c r="D261" s="515" t="s">
        <v>754</v>
      </c>
      <c r="E261" s="503" t="s">
        <v>161</v>
      </c>
      <c r="F261" s="596">
        <f t="shared" si="3"/>
        <v>33.47</v>
      </c>
      <c r="H261" s="360"/>
      <c r="I261" s="360"/>
      <c r="J261" s="379"/>
    </row>
    <row r="262" spans="2:10" ht="28.5" hidden="1" customHeight="1">
      <c r="B262" s="583"/>
      <c r="C262" s="502" t="s">
        <v>472</v>
      </c>
      <c r="D262" s="515" t="s">
        <v>755</v>
      </c>
      <c r="E262" s="503" t="s">
        <v>161</v>
      </c>
      <c r="F262" s="596">
        <f t="shared" si="3"/>
        <v>15.35</v>
      </c>
      <c r="H262" s="360"/>
      <c r="I262" s="360"/>
      <c r="J262" s="379"/>
    </row>
    <row r="263" spans="2:10" ht="28.5" hidden="1" customHeight="1">
      <c r="B263" s="583"/>
      <c r="C263" s="502" t="s">
        <v>474</v>
      </c>
      <c r="D263" s="515" t="s">
        <v>756</v>
      </c>
      <c r="E263" s="503" t="s">
        <v>161</v>
      </c>
      <c r="F263" s="596">
        <f t="shared" si="3"/>
        <v>8.43</v>
      </c>
      <c r="H263" s="361"/>
      <c r="I263" s="360"/>
      <c r="J263" s="379"/>
    </row>
    <row r="264" spans="2:10" ht="28.5" hidden="1" customHeight="1">
      <c r="B264" s="583"/>
      <c r="C264" s="502" t="s">
        <v>476</v>
      </c>
      <c r="D264" s="515" t="s">
        <v>757</v>
      </c>
      <c r="E264" s="503" t="s">
        <v>161</v>
      </c>
      <c r="F264" s="596">
        <f>+'F-2'!BE36</f>
        <v>156.10000000000002</v>
      </c>
      <c r="H264" s="362"/>
      <c r="I264" s="360"/>
      <c r="J264" s="379"/>
    </row>
    <row r="265" spans="2:10" ht="28.5" hidden="1" customHeight="1">
      <c r="B265" s="583"/>
      <c r="C265" s="502" t="s">
        <v>478</v>
      </c>
      <c r="D265" s="515" t="s">
        <v>758</v>
      </c>
      <c r="E265" s="503" t="s">
        <v>161</v>
      </c>
      <c r="F265" s="596">
        <f>+F251</f>
        <v>1047.32</v>
      </c>
      <c r="H265" s="360"/>
      <c r="I265" s="360"/>
      <c r="J265" s="379"/>
    </row>
    <row r="266" spans="2:10" ht="28.5" hidden="1" customHeight="1">
      <c r="B266" s="583"/>
      <c r="C266" s="502" t="s">
        <v>480</v>
      </c>
      <c r="D266" s="515" t="s">
        <v>759</v>
      </c>
      <c r="E266" s="503" t="s">
        <v>161</v>
      </c>
      <c r="F266" s="596">
        <f>+F258</f>
        <v>10.74</v>
      </c>
      <c r="H266" s="360"/>
      <c r="I266" s="360"/>
      <c r="J266" s="379"/>
    </row>
    <row r="267" spans="2:10" ht="28.5" hidden="1" customHeight="1">
      <c r="B267" s="583"/>
      <c r="C267" s="502" t="s">
        <v>482</v>
      </c>
      <c r="D267" s="515" t="s">
        <v>760</v>
      </c>
      <c r="E267" s="503" t="s">
        <v>161</v>
      </c>
      <c r="F267" s="596">
        <f>+F259</f>
        <v>27.4</v>
      </c>
      <c r="H267" s="360"/>
      <c r="I267" s="360"/>
      <c r="J267" s="379"/>
    </row>
    <row r="268" spans="2:10" ht="28.5" hidden="1" customHeight="1">
      <c r="B268" s="583"/>
      <c r="C268" s="502" t="s">
        <v>484</v>
      </c>
      <c r="D268" s="515" t="s">
        <v>761</v>
      </c>
      <c r="E268" s="503" t="s">
        <v>161</v>
      </c>
      <c r="F268" s="596">
        <f t="shared" ref="F268:F271" si="4">+F260</f>
        <v>100.02000000000001</v>
      </c>
      <c r="H268" s="360"/>
      <c r="I268" s="360"/>
      <c r="J268" s="379"/>
    </row>
    <row r="269" spans="2:10" ht="28.5" hidden="1" customHeight="1">
      <c r="B269" s="583"/>
      <c r="C269" s="502" t="s">
        <v>486</v>
      </c>
      <c r="D269" s="515" t="s">
        <v>762</v>
      </c>
      <c r="E269" s="503" t="s">
        <v>161</v>
      </c>
      <c r="F269" s="596">
        <f t="shared" si="4"/>
        <v>33.47</v>
      </c>
      <c r="H269" s="362"/>
      <c r="I269" s="360"/>
      <c r="J269" s="379"/>
    </row>
    <row r="270" spans="2:10" ht="28.5" hidden="1" customHeight="1">
      <c r="B270" s="584"/>
      <c r="C270" s="502" t="s">
        <v>763</v>
      </c>
      <c r="D270" s="515" t="s">
        <v>764</v>
      </c>
      <c r="E270" s="503" t="s">
        <v>161</v>
      </c>
      <c r="F270" s="596">
        <f t="shared" si="4"/>
        <v>15.35</v>
      </c>
      <c r="H270" s="360"/>
      <c r="I270" s="360"/>
      <c r="J270" s="379"/>
    </row>
    <row r="271" spans="2:10" ht="28.5" hidden="1" customHeight="1">
      <c r="B271" s="583"/>
      <c r="C271" s="502" t="s">
        <v>765</v>
      </c>
      <c r="D271" s="515" t="s">
        <v>766</v>
      </c>
      <c r="E271" s="503" t="s">
        <v>161</v>
      </c>
      <c r="F271" s="596">
        <f t="shared" si="4"/>
        <v>8.43</v>
      </c>
      <c r="H271" s="360"/>
      <c r="I271" s="360"/>
      <c r="J271" s="379"/>
    </row>
    <row r="272" spans="2:10" ht="28.5" hidden="1" customHeight="1">
      <c r="B272" s="583"/>
      <c r="C272" s="504" t="s">
        <v>488</v>
      </c>
      <c r="D272" s="521" t="s">
        <v>489</v>
      </c>
      <c r="E272" s="505" t="s">
        <v>156</v>
      </c>
      <c r="F272" s="597"/>
      <c r="H272" s="360"/>
      <c r="I272" s="360"/>
      <c r="J272" s="379"/>
    </row>
    <row r="273" spans="2:10" ht="28.5" hidden="1" customHeight="1">
      <c r="B273" s="583"/>
      <c r="C273" s="502" t="s">
        <v>490</v>
      </c>
      <c r="D273" s="515" t="s">
        <v>767</v>
      </c>
      <c r="E273" s="503" t="s">
        <v>161</v>
      </c>
      <c r="F273" s="596">
        <f>+'F-2'!L36</f>
        <v>1242.73</v>
      </c>
      <c r="H273" s="361"/>
      <c r="I273" s="360"/>
      <c r="J273" s="379"/>
    </row>
    <row r="274" spans="2:10" ht="28.5" hidden="1" customHeight="1">
      <c r="B274" s="584"/>
      <c r="C274" s="502" t="s">
        <v>492</v>
      </c>
      <c r="D274" s="515" t="s">
        <v>768</v>
      </c>
      <c r="E274" s="503" t="s">
        <v>161</v>
      </c>
      <c r="F274" s="596">
        <f>+F273</f>
        <v>1242.73</v>
      </c>
      <c r="H274" s="360"/>
      <c r="I274" s="360"/>
      <c r="J274" s="379"/>
    </row>
    <row r="275" spans="2:10" ht="28.5" hidden="1" customHeight="1">
      <c r="B275" s="585"/>
      <c r="C275" s="502" t="s">
        <v>494</v>
      </c>
      <c r="D275" s="515" t="s">
        <v>769</v>
      </c>
      <c r="E275" s="503" t="s">
        <v>161</v>
      </c>
      <c r="F275" s="596">
        <f>+F274</f>
        <v>1242.73</v>
      </c>
      <c r="H275" s="360"/>
      <c r="I275" s="360"/>
      <c r="J275" s="379"/>
    </row>
    <row r="276" spans="2:10" ht="28.5" hidden="1" customHeight="1">
      <c r="B276" s="583"/>
      <c r="C276" s="504" t="s">
        <v>502</v>
      </c>
      <c r="D276" s="521" t="s">
        <v>503</v>
      </c>
      <c r="E276" s="505" t="s">
        <v>156</v>
      </c>
      <c r="F276" s="597"/>
      <c r="H276" s="360"/>
      <c r="I276" s="360"/>
      <c r="J276" s="379"/>
    </row>
    <row r="277" spans="2:10" ht="28.5" hidden="1" customHeight="1">
      <c r="B277" s="583"/>
      <c r="C277" s="506" t="s">
        <v>504</v>
      </c>
      <c r="D277" s="522" t="s">
        <v>505</v>
      </c>
      <c r="E277" s="507" t="s">
        <v>156</v>
      </c>
      <c r="F277" s="598"/>
      <c r="H277" s="361"/>
      <c r="I277" s="360"/>
      <c r="J277" s="379"/>
    </row>
    <row r="278" spans="2:10" ht="28.5" hidden="1" customHeight="1">
      <c r="B278" s="583"/>
      <c r="C278" s="502" t="s">
        <v>506</v>
      </c>
      <c r="D278" s="515" t="s">
        <v>771</v>
      </c>
      <c r="E278" s="503" t="s">
        <v>163</v>
      </c>
      <c r="F278" s="596">
        <f>+Accesorios!K22</f>
        <v>3</v>
      </c>
      <c r="H278" s="362"/>
      <c r="I278" s="360"/>
      <c r="J278" s="379"/>
    </row>
    <row r="279" spans="2:10" ht="28.5" hidden="1" customHeight="1">
      <c r="B279" s="583"/>
      <c r="C279" s="502" t="s">
        <v>508</v>
      </c>
      <c r="D279" s="515" t="s">
        <v>772</v>
      </c>
      <c r="E279" s="503" t="s">
        <v>163</v>
      </c>
      <c r="F279" s="596">
        <f>+Accesorios!K23</f>
        <v>14</v>
      </c>
      <c r="H279" s="360"/>
      <c r="I279" s="360"/>
      <c r="J279" s="379"/>
    </row>
    <row r="280" spans="2:10" ht="28.5" hidden="1" customHeight="1">
      <c r="B280" s="585"/>
      <c r="C280" s="502" t="s">
        <v>510</v>
      </c>
      <c r="D280" s="515" t="s">
        <v>773</v>
      </c>
      <c r="E280" s="503" t="s">
        <v>163</v>
      </c>
      <c r="F280" s="596">
        <f>+Accesorios!K24</f>
        <v>10</v>
      </c>
      <c r="H280" s="360"/>
      <c r="I280" s="360"/>
      <c r="J280" s="379"/>
    </row>
    <row r="281" spans="2:10" ht="28.5" hidden="1" customHeight="1">
      <c r="B281" s="583"/>
      <c r="C281" s="502" t="s">
        <v>512</v>
      </c>
      <c r="D281" s="515" t="s">
        <v>774</v>
      </c>
      <c r="E281" s="503" t="s">
        <v>163</v>
      </c>
      <c r="F281" s="596">
        <f>+Accesorios!K25</f>
        <v>15</v>
      </c>
      <c r="H281" s="360"/>
      <c r="I281" s="360"/>
      <c r="J281" s="379"/>
    </row>
    <row r="282" spans="2:10" ht="28.5" hidden="1" customHeight="1">
      <c r="B282" s="583"/>
      <c r="C282" s="506" t="s">
        <v>519</v>
      </c>
      <c r="D282" s="522" t="s">
        <v>520</v>
      </c>
      <c r="E282" s="507" t="s">
        <v>156</v>
      </c>
      <c r="F282" s="598"/>
      <c r="H282" s="360"/>
      <c r="I282" s="360"/>
      <c r="J282" s="379"/>
    </row>
    <row r="283" spans="2:10" ht="28.5" hidden="1" customHeight="1">
      <c r="B283" s="583"/>
      <c r="C283" s="502" t="s">
        <v>521</v>
      </c>
      <c r="D283" s="515" t="s">
        <v>775</v>
      </c>
      <c r="E283" s="503" t="s">
        <v>163</v>
      </c>
      <c r="F283" s="596">
        <f>SUM(F278:F281)</f>
        <v>42</v>
      </c>
      <c r="H283" s="360"/>
      <c r="I283" s="360"/>
      <c r="J283" s="379"/>
    </row>
    <row r="284" spans="2:10" ht="28.5" hidden="1" customHeight="1">
      <c r="B284" s="584"/>
      <c r="C284" s="502" t="s">
        <v>523</v>
      </c>
      <c r="D284" s="515" t="s">
        <v>776</v>
      </c>
      <c r="E284" s="503" t="s">
        <v>163</v>
      </c>
      <c r="F284" s="596">
        <f>+F283</f>
        <v>42</v>
      </c>
      <c r="H284" s="360"/>
      <c r="I284" s="360"/>
      <c r="J284" s="379"/>
    </row>
    <row r="285" spans="2:10" ht="28.5" hidden="1" customHeight="1">
      <c r="B285" s="583"/>
      <c r="C285" s="502" t="s">
        <v>866</v>
      </c>
      <c r="D285" s="515" t="s">
        <v>1249</v>
      </c>
      <c r="E285" s="503" t="s">
        <v>163</v>
      </c>
      <c r="F285" s="596">
        <f>+'F-2'!U51</f>
        <v>15</v>
      </c>
      <c r="H285" s="360"/>
      <c r="I285" s="360"/>
      <c r="J285" s="379"/>
    </row>
    <row r="286" spans="2:10" ht="28.5" hidden="1" customHeight="1">
      <c r="B286" s="583"/>
      <c r="C286" s="504" t="s">
        <v>525</v>
      </c>
      <c r="D286" s="521" t="s">
        <v>169</v>
      </c>
      <c r="E286" s="505" t="s">
        <v>156</v>
      </c>
      <c r="F286" s="597"/>
      <c r="H286" s="360"/>
      <c r="I286" s="360"/>
      <c r="J286" s="379"/>
    </row>
    <row r="287" spans="2:10" ht="28.5" hidden="1" customHeight="1">
      <c r="B287" s="583"/>
      <c r="C287" s="502" t="s">
        <v>526</v>
      </c>
      <c r="D287" s="515" t="s">
        <v>527</v>
      </c>
      <c r="E287" s="503" t="s">
        <v>163</v>
      </c>
      <c r="F287" s="596">
        <f>+ROUND(F273/50,0)</f>
        <v>25</v>
      </c>
      <c r="H287" s="360"/>
      <c r="I287" s="360"/>
      <c r="J287" s="379"/>
    </row>
    <row r="288" spans="2:10" ht="28.5" hidden="1" customHeight="1">
      <c r="B288" s="584"/>
      <c r="C288" s="502" t="s">
        <v>528</v>
      </c>
      <c r="D288" s="515" t="s">
        <v>529</v>
      </c>
      <c r="E288" s="503" t="s">
        <v>163</v>
      </c>
      <c r="F288" s="596">
        <v>12</v>
      </c>
      <c r="H288" s="360"/>
      <c r="I288" s="360"/>
      <c r="J288" s="379"/>
    </row>
    <row r="289" spans="2:10" ht="28.5" hidden="1" customHeight="1">
      <c r="B289" s="585"/>
      <c r="C289" s="502" t="s">
        <v>530</v>
      </c>
      <c r="D289" s="515" t="s">
        <v>770</v>
      </c>
      <c r="E289" s="503" t="s">
        <v>161</v>
      </c>
      <c r="F289" s="596">
        <f>+F274</f>
        <v>1242.73</v>
      </c>
      <c r="H289" s="360"/>
      <c r="I289" s="360"/>
      <c r="J289" s="379"/>
    </row>
    <row r="290" spans="2:10" ht="28.5" hidden="1" customHeight="1">
      <c r="B290" s="583"/>
      <c r="C290" s="504" t="s">
        <v>534</v>
      </c>
      <c r="D290" s="521" t="s">
        <v>535</v>
      </c>
      <c r="E290" s="505" t="s">
        <v>156</v>
      </c>
      <c r="F290" s="597"/>
      <c r="H290" s="360"/>
      <c r="I290" s="360"/>
      <c r="J290" s="379"/>
    </row>
    <row r="291" spans="2:10" ht="28.5" hidden="1" customHeight="1">
      <c r="B291" s="583"/>
      <c r="C291" s="506" t="s">
        <v>536</v>
      </c>
      <c r="D291" s="522" t="s">
        <v>1250</v>
      </c>
      <c r="E291" s="507" t="s">
        <v>156</v>
      </c>
      <c r="F291" s="598"/>
      <c r="H291" s="360"/>
      <c r="I291" s="360"/>
      <c r="J291" s="379"/>
    </row>
    <row r="292" spans="2:10" ht="28.5" hidden="1" customHeight="1">
      <c r="B292" s="583"/>
      <c r="C292" s="502" t="s">
        <v>537</v>
      </c>
      <c r="D292" s="515" t="s">
        <v>778</v>
      </c>
      <c r="E292" s="503" t="s">
        <v>163</v>
      </c>
      <c r="F292" s="596">
        <f>+Mejoramientos!K116</f>
        <v>2</v>
      </c>
      <c r="H292" s="360"/>
      <c r="I292" s="360"/>
      <c r="J292" s="379"/>
    </row>
    <row r="293" spans="2:10" ht="28.5" hidden="1" customHeight="1">
      <c r="B293" s="583"/>
      <c r="C293" s="502" t="s">
        <v>539</v>
      </c>
      <c r="D293" s="515" t="s">
        <v>780</v>
      </c>
      <c r="E293" s="503" t="s">
        <v>163</v>
      </c>
      <c r="F293" s="596">
        <f>+Mejoramientos!K117</f>
        <v>1</v>
      </c>
      <c r="H293" s="360"/>
      <c r="I293" s="360"/>
      <c r="J293" s="379"/>
    </row>
    <row r="294" spans="2:10" ht="28.5" hidden="1" customHeight="1">
      <c r="B294" s="583"/>
      <c r="C294" s="502" t="s">
        <v>550</v>
      </c>
      <c r="D294" s="515" t="s">
        <v>782</v>
      </c>
      <c r="E294" s="503" t="s">
        <v>163</v>
      </c>
      <c r="F294" s="596">
        <f>+Mejoramientos!K118</f>
        <v>2</v>
      </c>
      <c r="H294" s="360"/>
      <c r="I294" s="360"/>
      <c r="J294" s="379"/>
    </row>
    <row r="295" spans="2:10" ht="28.5" hidden="1" customHeight="1">
      <c r="B295" s="583"/>
      <c r="C295" s="502" t="s">
        <v>869</v>
      </c>
      <c r="D295" s="587" t="s">
        <v>1239</v>
      </c>
      <c r="E295" s="503" t="s">
        <v>163</v>
      </c>
      <c r="F295" s="596">
        <f>+Mejoramientos!K119</f>
        <v>1</v>
      </c>
      <c r="H295" s="360"/>
      <c r="I295" s="360"/>
      <c r="J295" s="379"/>
    </row>
    <row r="296" spans="2:10" ht="28.5" hidden="1" customHeight="1">
      <c r="B296" s="583"/>
      <c r="C296" s="502" t="s">
        <v>871</v>
      </c>
      <c r="D296" s="515" t="s">
        <v>784</v>
      </c>
      <c r="E296" s="503" t="s">
        <v>161</v>
      </c>
      <c r="F296" s="596">
        <f>+Mejoramientos!K120</f>
        <v>3.1</v>
      </c>
      <c r="H296" s="360"/>
      <c r="I296" s="360"/>
      <c r="J296" s="379"/>
    </row>
    <row r="297" spans="2:10" ht="28.5" hidden="1" customHeight="1">
      <c r="B297" s="583"/>
      <c r="C297" s="502" t="s">
        <v>872</v>
      </c>
      <c r="D297" s="515" t="s">
        <v>785</v>
      </c>
      <c r="E297" s="503" t="s">
        <v>163</v>
      </c>
      <c r="F297" s="596">
        <f>+Mejoramientos!K121</f>
        <v>4</v>
      </c>
      <c r="H297" s="360"/>
      <c r="I297" s="360"/>
      <c r="J297" s="379"/>
    </row>
    <row r="298" spans="2:10" ht="28.5" hidden="1" customHeight="1">
      <c r="B298" s="583"/>
      <c r="C298" s="502" t="s">
        <v>873</v>
      </c>
      <c r="D298" s="515" t="s">
        <v>786</v>
      </c>
      <c r="E298" s="503" t="s">
        <v>163</v>
      </c>
      <c r="F298" s="596">
        <f>+Mejoramientos!K122</f>
        <v>1</v>
      </c>
      <c r="H298" s="362"/>
      <c r="I298" s="360"/>
      <c r="J298" s="379"/>
    </row>
    <row r="299" spans="2:10" ht="28.5" hidden="1" customHeight="1">
      <c r="B299" s="583"/>
      <c r="C299" s="502" t="s">
        <v>874</v>
      </c>
      <c r="D299" s="515" t="s">
        <v>787</v>
      </c>
      <c r="E299" s="503" t="s">
        <v>163</v>
      </c>
      <c r="F299" s="596">
        <f>+Mejoramientos!K123</f>
        <v>1</v>
      </c>
      <c r="H299" s="360"/>
      <c r="I299" s="360"/>
      <c r="J299" s="379"/>
    </row>
    <row r="300" spans="2:10" ht="28.5" hidden="1" customHeight="1">
      <c r="B300" s="583"/>
      <c r="C300" s="502" t="s">
        <v>1251</v>
      </c>
      <c r="D300" s="515" t="s">
        <v>788</v>
      </c>
      <c r="E300" s="503" t="s">
        <v>163</v>
      </c>
      <c r="F300" s="596">
        <f>+Mejoramientos!K124</f>
        <v>1</v>
      </c>
      <c r="H300" s="360"/>
      <c r="I300" s="360"/>
      <c r="J300" s="379"/>
    </row>
    <row r="301" spans="2:10" ht="28.5" hidden="1" customHeight="1">
      <c r="B301" s="583"/>
      <c r="C301" s="502" t="s">
        <v>1252</v>
      </c>
      <c r="D301" s="515" t="s">
        <v>790</v>
      </c>
      <c r="E301" s="503" t="s">
        <v>163</v>
      </c>
      <c r="F301" s="596">
        <f>+Mejoramientos!K125</f>
        <v>1</v>
      </c>
      <c r="H301" s="360"/>
      <c r="I301" s="360"/>
      <c r="J301" s="379"/>
    </row>
    <row r="302" spans="2:10" ht="28.5" hidden="1" customHeight="1">
      <c r="B302" s="583"/>
      <c r="C302" s="502" t="s">
        <v>1253</v>
      </c>
      <c r="D302" s="515" t="s">
        <v>794</v>
      </c>
      <c r="E302" s="503" t="s">
        <v>163</v>
      </c>
      <c r="F302" s="596">
        <f>+Mejoramientos!K127</f>
        <v>6</v>
      </c>
      <c r="H302" s="360"/>
      <c r="I302" s="360"/>
      <c r="J302" s="379"/>
    </row>
    <row r="303" spans="2:10" ht="28.5" hidden="1" customHeight="1">
      <c r="B303" s="583"/>
      <c r="C303" s="502" t="s">
        <v>1254</v>
      </c>
      <c r="D303" s="515" t="s">
        <v>796</v>
      </c>
      <c r="E303" s="503" t="s">
        <v>163</v>
      </c>
      <c r="F303" s="596">
        <f>+Mejoramientos!K128</f>
        <v>10</v>
      </c>
      <c r="H303" s="360"/>
      <c r="I303" s="360"/>
      <c r="J303" s="379"/>
    </row>
    <row r="304" spans="2:10" ht="28.5" hidden="1" customHeight="1">
      <c r="B304" s="583"/>
      <c r="C304" s="502" t="s">
        <v>1255</v>
      </c>
      <c r="D304" s="515" t="s">
        <v>798</v>
      </c>
      <c r="E304" s="503" t="s">
        <v>163</v>
      </c>
      <c r="F304" s="596">
        <f>+Mejoramientos!K129</f>
        <v>1</v>
      </c>
      <c r="H304" s="360"/>
      <c r="I304" s="360"/>
      <c r="J304" s="379"/>
    </row>
    <row r="305" spans="2:10" ht="28.5" hidden="1" customHeight="1">
      <c r="B305" s="583"/>
      <c r="C305" s="502" t="s">
        <v>1256</v>
      </c>
      <c r="D305" s="515" t="s">
        <v>799</v>
      </c>
      <c r="E305" s="503" t="s">
        <v>163</v>
      </c>
      <c r="F305" s="596">
        <f>+Mejoramientos!K130</f>
        <v>2</v>
      </c>
      <c r="H305" s="360"/>
      <c r="I305" s="360"/>
      <c r="J305" s="379"/>
    </row>
    <row r="306" spans="2:10" ht="28.5" hidden="1" customHeight="1">
      <c r="B306" s="583"/>
      <c r="C306" s="502" t="s">
        <v>1257</v>
      </c>
      <c r="D306" s="515" t="s">
        <v>800</v>
      </c>
      <c r="E306" s="503" t="s">
        <v>163</v>
      </c>
      <c r="F306" s="596">
        <f>+Mejoramientos!K131</f>
        <v>80</v>
      </c>
      <c r="H306" s="360"/>
      <c r="I306" s="360"/>
      <c r="J306" s="379"/>
    </row>
    <row r="307" spans="2:10" ht="28.5" hidden="1" customHeight="1">
      <c r="B307" s="583"/>
      <c r="C307" s="502" t="s">
        <v>1258</v>
      </c>
      <c r="D307" s="515" t="s">
        <v>801</v>
      </c>
      <c r="E307" s="503" t="s">
        <v>163</v>
      </c>
      <c r="F307" s="596">
        <f>+Mejoramientos!K132</f>
        <v>8</v>
      </c>
      <c r="H307" s="360"/>
      <c r="I307" s="360"/>
      <c r="J307" s="379"/>
    </row>
    <row r="308" spans="2:10" ht="28.5" hidden="1" customHeight="1">
      <c r="B308" s="583"/>
      <c r="C308" s="502" t="s">
        <v>1259</v>
      </c>
      <c r="D308" s="515" t="s">
        <v>802</v>
      </c>
      <c r="E308" s="503" t="s">
        <v>163</v>
      </c>
      <c r="F308" s="596">
        <f>+Mejoramientos!K133</f>
        <v>1</v>
      </c>
      <c r="H308" s="361"/>
      <c r="I308" s="360"/>
      <c r="J308" s="379"/>
    </row>
    <row r="309" spans="2:10" ht="28.5" hidden="1" customHeight="1">
      <c r="B309" s="585"/>
      <c r="C309" s="502" t="s">
        <v>1260</v>
      </c>
      <c r="D309" s="515" t="s">
        <v>803</v>
      </c>
      <c r="E309" s="503" t="s">
        <v>163</v>
      </c>
      <c r="F309" s="596">
        <f>+Mejoramientos!K134</f>
        <v>1</v>
      </c>
      <c r="H309" s="362"/>
      <c r="I309" s="360"/>
      <c r="J309" s="379"/>
    </row>
    <row r="310" spans="2:10" ht="28.5" hidden="1" customHeight="1">
      <c r="B310" s="583"/>
      <c r="C310" s="502" t="s">
        <v>1261</v>
      </c>
      <c r="D310" s="515" t="s">
        <v>804</v>
      </c>
      <c r="E310" s="503" t="s">
        <v>163</v>
      </c>
      <c r="F310" s="596">
        <f>+Mejoramientos!K135</f>
        <v>1</v>
      </c>
      <c r="H310" s="360"/>
      <c r="I310" s="360"/>
      <c r="J310" s="379"/>
    </row>
    <row r="311" spans="2:10" ht="28.5" hidden="1" customHeight="1">
      <c r="B311" s="583"/>
      <c r="C311" s="506" t="s">
        <v>553</v>
      </c>
      <c r="D311" s="522" t="s">
        <v>1262</v>
      </c>
      <c r="E311" s="507" t="s">
        <v>156</v>
      </c>
      <c r="F311" s="596">
        <f>+Mejoramientos!K136</f>
        <v>0</v>
      </c>
      <c r="H311" s="360"/>
      <c r="I311" s="360"/>
      <c r="J311" s="379"/>
    </row>
    <row r="312" spans="2:10" ht="28.5" hidden="1" customHeight="1">
      <c r="B312" s="583"/>
      <c r="C312" s="502" t="s">
        <v>554</v>
      </c>
      <c r="D312" s="515" t="s">
        <v>805</v>
      </c>
      <c r="E312" s="503" t="s">
        <v>163</v>
      </c>
      <c r="F312" s="596">
        <f>+Mejoramientos!K137</f>
        <v>1</v>
      </c>
      <c r="H312" s="360"/>
      <c r="I312" s="360"/>
      <c r="J312" s="379"/>
    </row>
    <row r="313" spans="2:10" ht="28.5" hidden="1" customHeight="1">
      <c r="B313" s="583"/>
      <c r="C313" s="502" t="s">
        <v>557</v>
      </c>
      <c r="D313" s="515" t="s">
        <v>807</v>
      </c>
      <c r="E313" s="503" t="s">
        <v>133</v>
      </c>
      <c r="F313" s="596">
        <f>+Mejoramientos!K138</f>
        <v>3</v>
      </c>
      <c r="H313" s="360"/>
      <c r="I313" s="360"/>
      <c r="J313" s="379"/>
    </row>
    <row r="314" spans="2:10" ht="28.5" hidden="1" customHeight="1">
      <c r="B314" s="583"/>
      <c r="C314" s="502" t="s">
        <v>565</v>
      </c>
      <c r="D314" s="515" t="s">
        <v>776</v>
      </c>
      <c r="E314" s="503" t="s">
        <v>163</v>
      </c>
      <c r="F314" s="596">
        <f>+Mejoramientos!K139</f>
        <v>2</v>
      </c>
      <c r="H314" s="362"/>
      <c r="I314" s="360"/>
      <c r="J314" s="379"/>
    </row>
    <row r="315" spans="2:10" ht="28.5" hidden="1" customHeight="1">
      <c r="B315" s="583"/>
      <c r="C315" s="502" t="s">
        <v>967</v>
      </c>
      <c r="D315" s="587" t="s">
        <v>1239</v>
      </c>
      <c r="E315" s="503" t="s">
        <v>163</v>
      </c>
      <c r="F315" s="596">
        <f>+Mejoramientos!K140</f>
        <v>1</v>
      </c>
      <c r="H315" s="362"/>
      <c r="I315" s="360"/>
      <c r="J315" s="379"/>
    </row>
    <row r="316" spans="2:10" ht="28.5" hidden="1" customHeight="1">
      <c r="B316" s="583"/>
      <c r="C316" s="502" t="s">
        <v>968</v>
      </c>
      <c r="D316" s="515" t="s">
        <v>767</v>
      </c>
      <c r="E316" s="503" t="s">
        <v>161</v>
      </c>
      <c r="F316" s="596">
        <f>+Mejoramientos!K141</f>
        <v>4.95</v>
      </c>
      <c r="H316" s="360"/>
      <c r="I316" s="360"/>
      <c r="J316" s="379"/>
    </row>
    <row r="317" spans="2:10" ht="28.5" hidden="1" customHeight="1">
      <c r="B317" s="583"/>
      <c r="C317" s="502" t="s">
        <v>969</v>
      </c>
      <c r="D317" s="515" t="s">
        <v>769</v>
      </c>
      <c r="E317" s="503" t="s">
        <v>161</v>
      </c>
      <c r="F317" s="596">
        <f>+Mejoramientos!K142</f>
        <v>1.2</v>
      </c>
      <c r="H317" s="360"/>
      <c r="I317" s="360"/>
      <c r="J317" s="379"/>
    </row>
    <row r="318" spans="2:10" ht="28.5" hidden="1" customHeight="1">
      <c r="B318" s="583"/>
      <c r="C318" s="502" t="s">
        <v>970</v>
      </c>
      <c r="D318" s="515" t="s">
        <v>772</v>
      </c>
      <c r="E318" s="503" t="s">
        <v>163</v>
      </c>
      <c r="F318" s="596">
        <f>+Mejoramientos!K143</f>
        <v>2</v>
      </c>
      <c r="H318" s="360"/>
      <c r="I318" s="360"/>
      <c r="J318" s="379"/>
    </row>
    <row r="319" spans="2:10" ht="28.5" hidden="1" customHeight="1">
      <c r="B319" s="584"/>
      <c r="C319" s="502" t="s">
        <v>971</v>
      </c>
      <c r="D319" s="515" t="s">
        <v>809</v>
      </c>
      <c r="E319" s="503" t="s">
        <v>163</v>
      </c>
      <c r="F319" s="596">
        <f>+Mejoramientos!K144</f>
        <v>1</v>
      </c>
      <c r="H319" s="362"/>
      <c r="I319" s="360"/>
      <c r="J319" s="379"/>
    </row>
    <row r="320" spans="2:10" ht="28.5" hidden="1" customHeight="1">
      <c r="B320" s="585"/>
      <c r="C320" s="502" t="s">
        <v>972</v>
      </c>
      <c r="D320" s="515" t="s">
        <v>810</v>
      </c>
      <c r="E320" s="503" t="s">
        <v>163</v>
      </c>
      <c r="F320" s="596">
        <f>+Mejoramientos!K145</f>
        <v>1</v>
      </c>
      <c r="H320" s="360"/>
      <c r="I320" s="360"/>
      <c r="J320" s="379"/>
    </row>
    <row r="321" spans="2:10" ht="28.5" hidden="1" customHeight="1">
      <c r="B321" s="583"/>
      <c r="C321" s="504" t="s">
        <v>600</v>
      </c>
      <c r="D321" s="521" t="s">
        <v>238</v>
      </c>
      <c r="E321" s="505" t="s">
        <v>156</v>
      </c>
      <c r="F321" s="597"/>
      <c r="H321" s="360"/>
      <c r="I321" s="360"/>
      <c r="J321" s="379"/>
    </row>
    <row r="322" spans="2:10" ht="28.5" hidden="1" customHeight="1">
      <c r="B322" s="583"/>
      <c r="C322" s="506" t="s">
        <v>601</v>
      </c>
      <c r="D322" s="522" t="s">
        <v>811</v>
      </c>
      <c r="E322" s="507" t="s">
        <v>156</v>
      </c>
      <c r="F322" s="598"/>
      <c r="H322" s="360"/>
      <c r="I322" s="360"/>
      <c r="J322" s="379"/>
    </row>
    <row r="323" spans="2:10" ht="28.5" hidden="1" customHeight="1">
      <c r="B323" s="583"/>
      <c r="C323" s="502" t="s">
        <v>603</v>
      </c>
      <c r="D323" s="515" t="s">
        <v>620</v>
      </c>
      <c r="E323" s="503" t="s">
        <v>163</v>
      </c>
      <c r="F323" s="596">
        <f>+'F-2'!U48</f>
        <v>1</v>
      </c>
      <c r="H323" s="360"/>
      <c r="I323" s="360"/>
      <c r="J323" s="379"/>
    </row>
    <row r="324" spans="2:10" ht="28.5" hidden="1" customHeight="1">
      <c r="B324" s="583"/>
      <c r="C324" s="502" t="s">
        <v>605</v>
      </c>
      <c r="D324" s="515" t="s">
        <v>803</v>
      </c>
      <c r="E324" s="503" t="s">
        <v>163</v>
      </c>
      <c r="F324" s="596">
        <f>+F323</f>
        <v>1</v>
      </c>
      <c r="H324" s="361"/>
      <c r="I324" s="360"/>
      <c r="J324" s="379"/>
    </row>
    <row r="325" spans="2:10" ht="28.5" hidden="1" customHeight="1">
      <c r="B325" s="585"/>
      <c r="C325" s="502" t="s">
        <v>607</v>
      </c>
      <c r="D325" s="515" t="s">
        <v>812</v>
      </c>
      <c r="E325" s="503" t="s">
        <v>163</v>
      </c>
      <c r="F325" s="596">
        <f>+F324</f>
        <v>1</v>
      </c>
      <c r="H325" s="360"/>
      <c r="I325" s="360"/>
      <c r="J325" s="379"/>
    </row>
    <row r="326" spans="2:10" ht="28.5" hidden="1" customHeight="1">
      <c r="B326" s="583"/>
      <c r="C326" s="502" t="s">
        <v>609</v>
      </c>
      <c r="D326" s="515" t="s">
        <v>813</v>
      </c>
      <c r="E326" s="503" t="s">
        <v>163</v>
      </c>
      <c r="F326" s="596">
        <f>+F325</f>
        <v>1</v>
      </c>
      <c r="H326" s="360"/>
      <c r="I326" s="360"/>
      <c r="J326" s="379"/>
    </row>
    <row r="327" spans="2:10" ht="28.5" hidden="1" customHeight="1">
      <c r="B327" s="583"/>
      <c r="C327" s="506" t="s">
        <v>610</v>
      </c>
      <c r="D327" s="522" t="s">
        <v>814</v>
      </c>
      <c r="E327" s="507" t="s">
        <v>156</v>
      </c>
      <c r="F327" s="598"/>
      <c r="H327" s="360"/>
      <c r="I327" s="360"/>
      <c r="J327" s="379"/>
    </row>
    <row r="328" spans="2:10" ht="28.5" hidden="1" customHeight="1">
      <c r="B328" s="583"/>
      <c r="C328" s="502" t="s">
        <v>612</v>
      </c>
      <c r="D328" s="515" t="s">
        <v>620</v>
      </c>
      <c r="E328" s="503" t="s">
        <v>163</v>
      </c>
      <c r="F328" s="596">
        <f>+'F-2'!U49</f>
        <v>1</v>
      </c>
      <c r="H328" s="360"/>
      <c r="I328" s="360"/>
      <c r="J328" s="379"/>
    </row>
    <row r="329" spans="2:10" ht="28.5" hidden="1" customHeight="1">
      <c r="B329" s="583"/>
      <c r="C329" s="502" t="s">
        <v>614</v>
      </c>
      <c r="D329" s="515" t="s">
        <v>803</v>
      </c>
      <c r="E329" s="503" t="s">
        <v>163</v>
      </c>
      <c r="F329" s="596">
        <f>+F328</f>
        <v>1</v>
      </c>
      <c r="H329" s="361"/>
      <c r="I329" s="360"/>
      <c r="J329" s="379"/>
    </row>
    <row r="330" spans="2:10" ht="28.5" hidden="1" customHeight="1">
      <c r="B330" s="585"/>
      <c r="C330" s="502" t="s">
        <v>615</v>
      </c>
      <c r="D330" s="515" t="s">
        <v>812</v>
      </c>
      <c r="E330" s="503" t="s">
        <v>163</v>
      </c>
      <c r="F330" s="596">
        <f>+F329</f>
        <v>1</v>
      </c>
      <c r="H330" s="360"/>
      <c r="I330" s="360"/>
      <c r="J330" s="379"/>
    </row>
    <row r="331" spans="2:10" ht="28.5" hidden="1" customHeight="1">
      <c r="B331" s="583"/>
      <c r="C331" s="502" t="s">
        <v>616</v>
      </c>
      <c r="D331" s="515" t="s">
        <v>813</v>
      </c>
      <c r="E331" s="503" t="s">
        <v>163</v>
      </c>
      <c r="F331" s="596">
        <f>+F330</f>
        <v>1</v>
      </c>
      <c r="H331" s="360"/>
      <c r="I331" s="360"/>
      <c r="J331" s="379"/>
    </row>
    <row r="332" spans="2:10" ht="28.5" hidden="1" customHeight="1">
      <c r="B332" s="583"/>
      <c r="C332" s="506" t="s">
        <v>617</v>
      </c>
      <c r="D332" s="522" t="s">
        <v>815</v>
      </c>
      <c r="E332" s="507" t="s">
        <v>156</v>
      </c>
      <c r="F332" s="598"/>
      <c r="H332" s="358"/>
      <c r="I332" s="360"/>
      <c r="J332" s="379"/>
    </row>
    <row r="333" spans="2:10" ht="28.5" hidden="1" customHeight="1">
      <c r="B333" s="583"/>
      <c r="C333" s="502" t="s">
        <v>619</v>
      </c>
      <c r="D333" s="515" t="s">
        <v>630</v>
      </c>
      <c r="E333" s="503" t="s">
        <v>163</v>
      </c>
      <c r="F333" s="596">
        <f>+'F-2'!U50</f>
        <v>1</v>
      </c>
      <c r="H333" s="359"/>
      <c r="I333" s="360"/>
      <c r="J333" s="379"/>
    </row>
    <row r="334" spans="2:10" ht="28.5" hidden="1" customHeight="1">
      <c r="B334" s="583"/>
      <c r="C334" s="502" t="s">
        <v>621</v>
      </c>
      <c r="D334" s="515" t="s">
        <v>816</v>
      </c>
      <c r="E334" s="503" t="s">
        <v>163</v>
      </c>
      <c r="F334" s="596">
        <f>+F333</f>
        <v>1</v>
      </c>
      <c r="H334" s="360"/>
      <c r="I334" s="360"/>
      <c r="J334" s="379"/>
    </row>
    <row r="335" spans="2:10" ht="28.5" hidden="1" customHeight="1">
      <c r="B335" s="584"/>
      <c r="C335" s="502" t="s">
        <v>623</v>
      </c>
      <c r="D335" s="515" t="s">
        <v>817</v>
      </c>
      <c r="E335" s="503" t="s">
        <v>163</v>
      </c>
      <c r="F335" s="596">
        <f>+F334</f>
        <v>1</v>
      </c>
      <c r="H335" s="360"/>
      <c r="I335" s="360"/>
      <c r="J335" s="379"/>
    </row>
    <row r="336" spans="2:10" ht="28.5" hidden="1" customHeight="1">
      <c r="B336" s="583"/>
      <c r="C336" s="502" t="s">
        <v>625</v>
      </c>
      <c r="D336" s="515" t="s">
        <v>818</v>
      </c>
      <c r="E336" s="503" t="s">
        <v>163</v>
      </c>
      <c r="F336" s="596">
        <f>+F335</f>
        <v>1</v>
      </c>
      <c r="H336" s="360"/>
      <c r="I336" s="360"/>
      <c r="J336" s="379"/>
    </row>
    <row r="337" spans="2:10" ht="28.5" hidden="1" customHeight="1">
      <c r="B337" s="583"/>
      <c r="C337" s="504" t="s">
        <v>644</v>
      </c>
      <c r="D337" s="521" t="s">
        <v>645</v>
      </c>
      <c r="E337" s="505" t="s">
        <v>156</v>
      </c>
      <c r="F337" s="597"/>
      <c r="H337" s="360"/>
      <c r="I337" s="360"/>
      <c r="J337" s="379"/>
    </row>
    <row r="338" spans="2:10" ht="28.5" hidden="1" customHeight="1">
      <c r="B338" s="583"/>
      <c r="C338" s="502" t="s">
        <v>646</v>
      </c>
      <c r="D338" s="515" t="s">
        <v>647</v>
      </c>
      <c r="E338" s="503" t="s">
        <v>133</v>
      </c>
      <c r="F338" s="596">
        <f>+'F-2'!P42</f>
        <v>870.88000000000022</v>
      </c>
      <c r="H338" s="360"/>
      <c r="I338" s="360"/>
      <c r="J338" s="379"/>
    </row>
    <row r="339" spans="2:10" ht="28.5" hidden="1" customHeight="1">
      <c r="B339" s="583"/>
      <c r="C339" s="502" t="s">
        <v>648</v>
      </c>
      <c r="D339" s="515" t="s">
        <v>649</v>
      </c>
      <c r="E339" s="503" t="s">
        <v>163</v>
      </c>
      <c r="F339" s="596">
        <f>+'F-2'!P47</f>
        <v>2</v>
      </c>
      <c r="H339" s="360"/>
      <c r="I339" s="360"/>
      <c r="J339" s="379"/>
    </row>
    <row r="340" spans="2:10" ht="28.5" hidden="1" customHeight="1">
      <c r="B340" s="584"/>
      <c r="C340" s="502" t="s">
        <v>650</v>
      </c>
      <c r="D340" s="515" t="s">
        <v>652</v>
      </c>
      <c r="E340" s="503" t="s">
        <v>161</v>
      </c>
      <c r="F340" s="596">
        <f>+'F-2'!P50</f>
        <v>6</v>
      </c>
      <c r="H340" s="360"/>
      <c r="I340" s="360"/>
      <c r="J340" s="379"/>
    </row>
    <row r="341" spans="2:10" ht="28.5" hidden="1" customHeight="1">
      <c r="B341" s="583"/>
      <c r="C341" s="502" t="s">
        <v>651</v>
      </c>
      <c r="D341" s="515" t="s">
        <v>257</v>
      </c>
      <c r="E341" s="503" t="s">
        <v>133</v>
      </c>
      <c r="F341" s="596">
        <f>+'F-2'!P54</f>
        <v>9.0860000000000003</v>
      </c>
      <c r="H341" s="360"/>
      <c r="I341" s="360"/>
      <c r="J341" s="379"/>
    </row>
    <row r="342" spans="2:10" ht="28.5" hidden="1" customHeight="1">
      <c r="B342" s="583"/>
      <c r="C342" s="504" t="s">
        <v>666</v>
      </c>
      <c r="D342" s="521" t="s">
        <v>676</v>
      </c>
      <c r="E342" s="505" t="s">
        <v>156</v>
      </c>
      <c r="F342" s="597"/>
      <c r="H342" s="359"/>
      <c r="I342" s="360"/>
      <c r="J342" s="379"/>
    </row>
    <row r="343" spans="2:10" ht="28.5" hidden="1" customHeight="1">
      <c r="B343" s="581"/>
      <c r="C343" s="502" t="s">
        <v>667</v>
      </c>
      <c r="D343" s="515" t="s">
        <v>819</v>
      </c>
      <c r="E343" s="503" t="s">
        <v>163</v>
      </c>
      <c r="F343" s="596">
        <f>+'F-2'!U43</f>
        <v>1</v>
      </c>
      <c r="H343" s="361"/>
      <c r="I343" s="360"/>
      <c r="J343" s="379"/>
    </row>
    <row r="344" spans="2:10" ht="28.5" hidden="1" customHeight="1">
      <c r="B344" s="582"/>
      <c r="C344" s="502" t="s">
        <v>669</v>
      </c>
      <c r="D344" s="515" t="s">
        <v>820</v>
      </c>
      <c r="E344" s="503" t="s">
        <v>163</v>
      </c>
      <c r="F344" s="596">
        <f>+'F-2'!U44</f>
        <v>1</v>
      </c>
      <c r="H344" s="360"/>
      <c r="I344" s="360"/>
      <c r="J344" s="379"/>
    </row>
    <row r="345" spans="2:10" ht="28.5" hidden="1" customHeight="1">
      <c r="B345" s="583"/>
      <c r="C345" s="600" t="s">
        <v>391</v>
      </c>
      <c r="D345" s="601" t="s">
        <v>821</v>
      </c>
      <c r="E345" s="511" t="s">
        <v>156</v>
      </c>
      <c r="F345" s="602"/>
      <c r="H345" s="360"/>
      <c r="I345" s="360"/>
      <c r="J345" s="379"/>
    </row>
    <row r="346" spans="2:10" ht="28.5" hidden="1" customHeight="1">
      <c r="B346" s="583"/>
      <c r="C346" s="500" t="s">
        <v>393</v>
      </c>
      <c r="D346" s="520" t="s">
        <v>1220</v>
      </c>
      <c r="E346" s="501" t="s">
        <v>156</v>
      </c>
      <c r="F346" s="595"/>
      <c r="H346" s="360"/>
      <c r="I346" s="360"/>
      <c r="J346" s="379"/>
    </row>
    <row r="347" spans="2:10" ht="28.5" hidden="1" customHeight="1">
      <c r="B347" s="583"/>
      <c r="C347" s="502" t="s">
        <v>394</v>
      </c>
      <c r="D347" s="515" t="s">
        <v>395</v>
      </c>
      <c r="E347" s="503" t="s">
        <v>163</v>
      </c>
      <c r="F347" s="596">
        <v>1</v>
      </c>
      <c r="H347" s="360"/>
      <c r="I347" s="360"/>
      <c r="J347" s="379"/>
    </row>
    <row r="348" spans="2:10" ht="28.5" hidden="1" customHeight="1">
      <c r="B348" s="583"/>
      <c r="C348" s="502" t="s">
        <v>396</v>
      </c>
      <c r="D348" s="515" t="s">
        <v>397</v>
      </c>
      <c r="E348" s="503" t="s">
        <v>163</v>
      </c>
      <c r="F348" s="596">
        <v>1</v>
      </c>
      <c r="H348" s="360"/>
      <c r="I348" s="360"/>
      <c r="J348" s="379"/>
    </row>
    <row r="349" spans="2:10" ht="28.5" hidden="1" customHeight="1">
      <c r="B349" s="583"/>
      <c r="C349" s="502" t="s">
        <v>398</v>
      </c>
      <c r="D349" s="515" t="s">
        <v>170</v>
      </c>
      <c r="E349" s="503" t="s">
        <v>163</v>
      </c>
      <c r="F349" s="596">
        <v>1</v>
      </c>
      <c r="H349" s="360"/>
      <c r="I349" s="360"/>
      <c r="J349" s="379"/>
    </row>
    <row r="350" spans="2:10" ht="28.5" hidden="1" customHeight="1">
      <c r="B350" s="583"/>
      <c r="C350" s="502" t="s">
        <v>399</v>
      </c>
      <c r="D350" s="515" t="s">
        <v>400</v>
      </c>
      <c r="E350" s="503" t="s">
        <v>402</v>
      </c>
      <c r="F350" s="596">
        <v>1</v>
      </c>
      <c r="H350" s="360"/>
      <c r="I350" s="360"/>
      <c r="J350" s="379"/>
    </row>
    <row r="351" spans="2:10" ht="28.5" hidden="1" customHeight="1">
      <c r="B351" s="583"/>
      <c r="C351" s="502" t="s">
        <v>401</v>
      </c>
      <c r="D351" s="515" t="s">
        <v>1361</v>
      </c>
      <c r="E351" s="503" t="s">
        <v>133</v>
      </c>
      <c r="F351" s="596">
        <v>50.86</v>
      </c>
      <c r="H351" s="360"/>
      <c r="I351" s="360"/>
      <c r="J351" s="379"/>
    </row>
    <row r="352" spans="2:10" ht="28.5" hidden="1" customHeight="1">
      <c r="B352" s="584"/>
      <c r="C352" s="502" t="s">
        <v>403</v>
      </c>
      <c r="D352" s="515" t="s">
        <v>1263</v>
      </c>
      <c r="E352" s="503" t="s">
        <v>402</v>
      </c>
      <c r="F352" s="596">
        <v>1</v>
      </c>
      <c r="H352" s="360"/>
      <c r="I352" s="360"/>
      <c r="J352" s="379"/>
    </row>
    <row r="353" spans="2:10" ht="28.5" hidden="1" customHeight="1">
      <c r="B353" s="583"/>
      <c r="C353" s="500" t="s">
        <v>404</v>
      </c>
      <c r="D353" s="520" t="s">
        <v>1264</v>
      </c>
      <c r="E353" s="501" t="s">
        <v>156</v>
      </c>
      <c r="F353" s="595"/>
      <c r="H353" s="360"/>
      <c r="I353" s="360"/>
      <c r="J353" s="379"/>
    </row>
    <row r="354" spans="2:10" ht="28.5" hidden="1" customHeight="1">
      <c r="B354" s="583"/>
      <c r="C354" s="504" t="s">
        <v>405</v>
      </c>
      <c r="D354" s="521" t="s">
        <v>173</v>
      </c>
      <c r="E354" s="505" t="s">
        <v>156</v>
      </c>
      <c r="F354" s="597"/>
      <c r="H354" s="360"/>
      <c r="I354" s="360"/>
      <c r="J354" s="379"/>
    </row>
    <row r="355" spans="2:10" ht="28.5" hidden="1" customHeight="1">
      <c r="B355" s="583"/>
      <c r="C355" s="502" t="s">
        <v>406</v>
      </c>
      <c r="D355" s="515" t="s">
        <v>157</v>
      </c>
      <c r="E355" s="503" t="s">
        <v>158</v>
      </c>
      <c r="F355" s="596">
        <f>+F364/1000</f>
        <v>0.97122000000000042</v>
      </c>
      <c r="H355" s="360"/>
      <c r="I355" s="360"/>
      <c r="J355" s="379"/>
    </row>
    <row r="356" spans="2:10" ht="28.5" hidden="1" customHeight="1">
      <c r="B356" s="583"/>
      <c r="C356" s="502" t="s">
        <v>407</v>
      </c>
      <c r="D356" s="515" t="s">
        <v>159</v>
      </c>
      <c r="E356" s="503" t="s">
        <v>158</v>
      </c>
      <c r="F356" s="596">
        <f>+F355</f>
        <v>0.97122000000000042</v>
      </c>
      <c r="H356" s="361"/>
      <c r="I356" s="360"/>
      <c r="J356" s="379"/>
    </row>
    <row r="357" spans="2:10" ht="28.5" hidden="1" customHeight="1">
      <c r="B357" s="583"/>
      <c r="C357" s="502" t="s">
        <v>408</v>
      </c>
      <c r="D357" s="587" t="s">
        <v>1223</v>
      </c>
      <c r="E357" s="503" t="s">
        <v>163</v>
      </c>
      <c r="F357" s="596">
        <v>12</v>
      </c>
      <c r="H357" s="360"/>
      <c r="I357" s="360"/>
      <c r="J357" s="379"/>
    </row>
    <row r="358" spans="2:10" ht="28.5" hidden="1" customHeight="1">
      <c r="B358" s="583"/>
      <c r="C358" s="502" t="s">
        <v>410</v>
      </c>
      <c r="D358" s="587" t="s">
        <v>1224</v>
      </c>
      <c r="E358" s="503" t="s">
        <v>163</v>
      </c>
      <c r="F358" s="596">
        <v>12</v>
      </c>
      <c r="H358" s="360"/>
      <c r="I358" s="360"/>
      <c r="J358" s="379"/>
    </row>
    <row r="359" spans="2:10" ht="28.5" hidden="1" customHeight="1">
      <c r="B359" s="583"/>
      <c r="C359" s="502" t="s">
        <v>411</v>
      </c>
      <c r="D359" s="587" t="s">
        <v>1225</v>
      </c>
      <c r="E359" s="503" t="s">
        <v>163</v>
      </c>
      <c r="F359" s="596">
        <v>6</v>
      </c>
      <c r="H359" s="360"/>
      <c r="I359" s="360"/>
      <c r="J359" s="379"/>
    </row>
    <row r="360" spans="2:10" ht="28.5" hidden="1" customHeight="1">
      <c r="B360" s="583"/>
      <c r="C360" s="502" t="s">
        <v>412</v>
      </c>
      <c r="D360" s="587" t="s">
        <v>1226</v>
      </c>
      <c r="E360" s="503" t="s">
        <v>163</v>
      </c>
      <c r="F360" s="596">
        <v>6</v>
      </c>
      <c r="H360" s="360"/>
      <c r="I360" s="360"/>
      <c r="J360" s="379"/>
    </row>
    <row r="361" spans="2:10" ht="28.5" hidden="1" customHeight="1">
      <c r="B361" s="583"/>
      <c r="C361" s="502" t="s">
        <v>413</v>
      </c>
      <c r="D361" s="587" t="s">
        <v>1227</v>
      </c>
      <c r="E361" s="503" t="s">
        <v>163</v>
      </c>
      <c r="F361" s="596">
        <v>4</v>
      </c>
      <c r="H361" s="360"/>
      <c r="I361" s="360"/>
      <c r="J361" s="379"/>
    </row>
    <row r="362" spans="2:10" ht="28.5" hidden="1" customHeight="1">
      <c r="B362" s="583"/>
      <c r="C362" s="502" t="s">
        <v>415</v>
      </c>
      <c r="D362" s="515" t="s">
        <v>409</v>
      </c>
      <c r="E362" s="503" t="s">
        <v>161</v>
      </c>
      <c r="F362" s="596">
        <f>+F363</f>
        <v>1942.4400000000007</v>
      </c>
      <c r="H362" s="360"/>
      <c r="I362" s="360"/>
      <c r="J362" s="379"/>
    </row>
    <row r="363" spans="2:10" ht="28.5" hidden="1" customHeight="1">
      <c r="B363" s="583"/>
      <c r="C363" s="502" t="s">
        <v>417</v>
      </c>
      <c r="D363" s="515" t="s">
        <v>162</v>
      </c>
      <c r="E363" s="503" t="s">
        <v>161</v>
      </c>
      <c r="F363" s="596">
        <f>+F364*2</f>
        <v>1942.4400000000007</v>
      </c>
      <c r="H363" s="360"/>
      <c r="I363" s="360"/>
      <c r="J363" s="379"/>
    </row>
    <row r="364" spans="2:10" ht="28.5" hidden="1" customHeight="1">
      <c r="B364" s="583"/>
      <c r="C364" s="502" t="s">
        <v>419</v>
      </c>
      <c r="D364" s="515" t="s">
        <v>160</v>
      </c>
      <c r="E364" s="503" t="s">
        <v>161</v>
      </c>
      <c r="F364" s="596">
        <f>+'F-3'!L38</f>
        <v>971.22000000000037</v>
      </c>
      <c r="H364" s="360"/>
      <c r="I364" s="360"/>
      <c r="J364" s="379"/>
    </row>
    <row r="365" spans="2:10" ht="28.5" hidden="1" customHeight="1">
      <c r="B365" s="583"/>
      <c r="C365" s="502" t="s">
        <v>421</v>
      </c>
      <c r="D365" s="515" t="s">
        <v>732</v>
      </c>
      <c r="E365" s="503" t="s">
        <v>161</v>
      </c>
      <c r="F365" s="596">
        <f>+Mejoramientos!K149</f>
        <v>145.51</v>
      </c>
      <c r="H365" s="360"/>
      <c r="I365" s="360"/>
      <c r="J365" s="379"/>
    </row>
    <row r="366" spans="2:10" ht="28.5" hidden="1" customHeight="1">
      <c r="B366" s="583"/>
      <c r="C366" s="502" t="s">
        <v>423</v>
      </c>
      <c r="D366" s="515" t="s">
        <v>414</v>
      </c>
      <c r="E366" s="503" t="s">
        <v>163</v>
      </c>
      <c r="F366" s="596">
        <f>+Mejoramientos!K155</f>
        <v>5</v>
      </c>
      <c r="H366" s="360"/>
      <c r="I366" s="360"/>
      <c r="J366" s="379"/>
    </row>
    <row r="367" spans="2:10" ht="28.5" hidden="1" customHeight="1">
      <c r="B367" s="583"/>
      <c r="C367" s="502" t="s">
        <v>425</v>
      </c>
      <c r="D367" s="515" t="s">
        <v>416</v>
      </c>
      <c r="E367" s="503" t="s">
        <v>163</v>
      </c>
      <c r="F367" s="596">
        <f>+Mejoramientos!K156</f>
        <v>6</v>
      </c>
      <c r="H367" s="360"/>
      <c r="I367" s="360"/>
      <c r="J367" s="379"/>
    </row>
    <row r="368" spans="2:10" ht="28.5" hidden="1" customHeight="1">
      <c r="B368" s="583"/>
      <c r="C368" s="502" t="s">
        <v>427</v>
      </c>
      <c r="D368" s="515" t="s">
        <v>418</v>
      </c>
      <c r="E368" s="503" t="s">
        <v>163</v>
      </c>
      <c r="F368" s="596">
        <f>+Mejoramientos!K157</f>
        <v>1</v>
      </c>
      <c r="H368" s="360"/>
      <c r="I368" s="360"/>
      <c r="J368" s="379"/>
    </row>
    <row r="369" spans="2:10" ht="28.5" hidden="1" customHeight="1">
      <c r="B369" s="583"/>
      <c r="C369" s="502" t="s">
        <v>1228</v>
      </c>
      <c r="D369" s="515" t="s">
        <v>420</v>
      </c>
      <c r="E369" s="503" t="s">
        <v>163</v>
      </c>
      <c r="F369" s="596">
        <f>+Mejoramientos!K158</f>
        <v>18</v>
      </c>
      <c r="H369" s="360"/>
      <c r="I369" s="360"/>
      <c r="J369" s="379"/>
    </row>
    <row r="370" spans="2:10" ht="28.5" hidden="1" customHeight="1">
      <c r="B370" s="583"/>
      <c r="C370" s="502" t="s">
        <v>1229</v>
      </c>
      <c r="D370" s="515" t="s">
        <v>422</v>
      </c>
      <c r="E370" s="503" t="s">
        <v>163</v>
      </c>
      <c r="F370" s="596">
        <f>+Mejoramientos!K159</f>
        <v>12</v>
      </c>
      <c r="H370" s="360"/>
      <c r="I370" s="360"/>
      <c r="J370" s="379"/>
    </row>
    <row r="371" spans="2:10" ht="28.5" hidden="1" customHeight="1">
      <c r="B371" s="584"/>
      <c r="C371" s="502" t="s">
        <v>1230</v>
      </c>
      <c r="D371" s="515" t="s">
        <v>428</v>
      </c>
      <c r="E371" s="503" t="s">
        <v>163</v>
      </c>
      <c r="F371" s="596">
        <f>+Mejoramientos!K160</f>
        <v>12</v>
      </c>
      <c r="H371" s="360"/>
      <c r="I371" s="360"/>
      <c r="J371" s="379"/>
    </row>
    <row r="372" spans="2:10" ht="28.5" hidden="1" customHeight="1">
      <c r="B372" s="583"/>
      <c r="C372" s="502" t="s">
        <v>1232</v>
      </c>
      <c r="D372" s="515" t="s">
        <v>1231</v>
      </c>
      <c r="E372" s="503" t="s">
        <v>163</v>
      </c>
      <c r="F372" s="596">
        <f>+Mejoramientos!K161</f>
        <v>2</v>
      </c>
      <c r="H372" s="361"/>
      <c r="I372" s="360"/>
      <c r="J372" s="379"/>
    </row>
    <row r="373" spans="2:10" ht="28.5" hidden="1" customHeight="1">
      <c r="B373" s="583"/>
      <c r="C373" s="502" t="s">
        <v>1233</v>
      </c>
      <c r="D373" s="515" t="s">
        <v>426</v>
      </c>
      <c r="E373" s="503" t="s">
        <v>163</v>
      </c>
      <c r="F373" s="596">
        <f>+Mejoramientos!K162</f>
        <v>1</v>
      </c>
      <c r="H373" s="360"/>
      <c r="I373" s="360"/>
      <c r="J373" s="379"/>
    </row>
    <row r="374" spans="2:10" ht="28.5" hidden="1" customHeight="1">
      <c r="B374" s="583"/>
      <c r="C374" s="504" t="s">
        <v>429</v>
      </c>
      <c r="D374" s="521" t="s">
        <v>164</v>
      </c>
      <c r="E374" s="505" t="s">
        <v>156</v>
      </c>
      <c r="F374" s="597"/>
      <c r="H374" s="360"/>
      <c r="I374" s="360"/>
      <c r="J374" s="379"/>
    </row>
    <row r="375" spans="2:10" ht="28.5" hidden="1" customHeight="1">
      <c r="B375" s="583"/>
      <c r="C375" s="502" t="s">
        <v>430</v>
      </c>
      <c r="D375" s="515" t="s">
        <v>733</v>
      </c>
      <c r="E375" s="503" t="s">
        <v>161</v>
      </c>
      <c r="F375" s="596">
        <f>+'F-3'!Z38</f>
        <v>8.82</v>
      </c>
      <c r="H375" s="360"/>
      <c r="I375" s="360"/>
      <c r="J375" s="379"/>
    </row>
    <row r="376" spans="2:10" ht="28.5" hidden="1" customHeight="1">
      <c r="B376" s="583"/>
      <c r="C376" s="502" t="s">
        <v>432</v>
      </c>
      <c r="D376" s="515" t="s">
        <v>734</v>
      </c>
      <c r="E376" s="503" t="s">
        <v>161</v>
      </c>
      <c r="F376" s="596">
        <f>+'F-3'!AA38-'F-3'!AA31</f>
        <v>321.35999999999996</v>
      </c>
      <c r="H376" s="361"/>
      <c r="I376" s="360"/>
      <c r="J376" s="379"/>
    </row>
    <row r="377" spans="2:10" ht="28.5" hidden="1" customHeight="1">
      <c r="B377" s="583"/>
      <c r="C377" s="502" t="s">
        <v>433</v>
      </c>
      <c r="D377" s="515" t="s">
        <v>822</v>
      </c>
      <c r="E377" s="503" t="s">
        <v>161</v>
      </c>
      <c r="F377" s="596">
        <f>+'F-3'!AA31</f>
        <v>7.65</v>
      </c>
      <c r="H377" s="362"/>
      <c r="I377" s="360"/>
      <c r="J377" s="379"/>
    </row>
    <row r="378" spans="2:10" ht="28.5" hidden="1" customHeight="1">
      <c r="B378" s="583"/>
      <c r="C378" s="502" t="s">
        <v>434</v>
      </c>
      <c r="D378" s="515" t="s">
        <v>735</v>
      </c>
      <c r="E378" s="503" t="s">
        <v>161</v>
      </c>
      <c r="F378" s="596">
        <f>+'F-3'!AB38-Resúmen!F379</f>
        <v>484.59000000000003</v>
      </c>
      <c r="H378" s="360"/>
      <c r="I378" s="360"/>
      <c r="J378" s="379"/>
    </row>
    <row r="379" spans="2:10" ht="28.5" hidden="1" customHeight="1">
      <c r="B379" s="583"/>
      <c r="C379" s="502" t="s">
        <v>436</v>
      </c>
      <c r="D379" s="515" t="s">
        <v>823</v>
      </c>
      <c r="E379" s="503" t="s">
        <v>161</v>
      </c>
      <c r="F379" s="596">
        <f>+'F-3'!AB25+'F-3'!AB32+'F-3'!AB33+'F-3'!AB36+'F-3'!AB37</f>
        <v>65.900000000000006</v>
      </c>
      <c r="H379" s="360"/>
      <c r="I379" s="360"/>
      <c r="J379" s="379"/>
    </row>
    <row r="380" spans="2:10" ht="28.5" hidden="1" customHeight="1">
      <c r="B380" s="583"/>
      <c r="C380" s="502" t="s">
        <v>438</v>
      </c>
      <c r="D380" s="515" t="s">
        <v>824</v>
      </c>
      <c r="E380" s="503" t="s">
        <v>161</v>
      </c>
      <c r="F380" s="596">
        <f>+'F-3'!AC38</f>
        <v>20.98</v>
      </c>
      <c r="H380" s="360"/>
      <c r="I380" s="360"/>
      <c r="J380" s="379"/>
    </row>
    <row r="381" spans="2:10" ht="28.5" hidden="1" customHeight="1">
      <c r="B381" s="583"/>
      <c r="C381" s="502" t="s">
        <v>440</v>
      </c>
      <c r="D381" s="515" t="s">
        <v>737</v>
      </c>
      <c r="E381" s="503" t="s">
        <v>161</v>
      </c>
      <c r="F381" s="596">
        <f>+'F-3'!AD38</f>
        <v>61.92</v>
      </c>
      <c r="H381" s="362"/>
      <c r="I381" s="360"/>
      <c r="J381" s="379"/>
    </row>
    <row r="382" spans="2:10" ht="28.5" hidden="1" customHeight="1">
      <c r="B382" s="583"/>
      <c r="C382" s="502" t="s">
        <v>442</v>
      </c>
      <c r="D382" s="515" t="s">
        <v>744</v>
      </c>
      <c r="E382" s="503" t="s">
        <v>161</v>
      </c>
      <c r="F382" s="596">
        <f>SUM(F375:F381)</f>
        <v>971.21999999999991</v>
      </c>
      <c r="H382" s="360"/>
      <c r="I382" s="360"/>
      <c r="J382" s="379"/>
    </row>
    <row r="383" spans="2:10" ht="28.5" hidden="1" customHeight="1">
      <c r="B383" s="583"/>
      <c r="C383" s="502" t="s">
        <v>444</v>
      </c>
      <c r="D383" s="515" t="s">
        <v>746</v>
      </c>
      <c r="E383" s="503" t="s">
        <v>161</v>
      </c>
      <c r="F383" s="596">
        <f>+F375</f>
        <v>8.82</v>
      </c>
      <c r="H383" s="360"/>
      <c r="I383" s="360"/>
      <c r="J383" s="379"/>
    </row>
    <row r="384" spans="2:10" ht="28.5" hidden="1" customHeight="1">
      <c r="B384" s="583"/>
      <c r="C384" s="502" t="s">
        <v>446</v>
      </c>
      <c r="D384" s="515" t="s">
        <v>747</v>
      </c>
      <c r="E384" s="503" t="s">
        <v>161</v>
      </c>
      <c r="F384" s="596">
        <f>+F376+F377</f>
        <v>329.00999999999993</v>
      </c>
      <c r="H384" s="360"/>
      <c r="I384" s="360"/>
      <c r="J384" s="379"/>
    </row>
    <row r="385" spans="2:10" ht="28.5" hidden="1" customHeight="1">
      <c r="B385" s="583"/>
      <c r="C385" s="502" t="s">
        <v>448</v>
      </c>
      <c r="D385" s="515" t="s">
        <v>748</v>
      </c>
      <c r="E385" s="503" t="s">
        <v>161</v>
      </c>
      <c r="F385" s="596">
        <f>+F378+F379</f>
        <v>550.49</v>
      </c>
      <c r="H385" s="361"/>
      <c r="I385" s="360"/>
      <c r="J385" s="379"/>
    </row>
    <row r="386" spans="2:10" ht="28.5" hidden="1" customHeight="1">
      <c r="B386" s="583"/>
      <c r="C386" s="502" t="s">
        <v>450</v>
      </c>
      <c r="D386" s="515" t="s">
        <v>749</v>
      </c>
      <c r="E386" s="503" t="s">
        <v>161</v>
      </c>
      <c r="F386" s="596">
        <f>+F380</f>
        <v>20.98</v>
      </c>
      <c r="H386" s="360"/>
      <c r="I386" s="360"/>
      <c r="J386" s="379"/>
    </row>
    <row r="387" spans="2:10" ht="28.5" hidden="1" customHeight="1">
      <c r="B387" s="584"/>
      <c r="C387" s="502" t="s">
        <v>452</v>
      </c>
      <c r="D387" s="515" t="s">
        <v>750</v>
      </c>
      <c r="E387" s="503" t="s">
        <v>161</v>
      </c>
      <c r="F387" s="596">
        <f>+F381</f>
        <v>61.92</v>
      </c>
      <c r="H387" s="360"/>
      <c r="I387" s="360"/>
      <c r="J387" s="379"/>
    </row>
    <row r="388" spans="2:10" ht="28.5" hidden="1" customHeight="1">
      <c r="B388" s="583"/>
      <c r="C388" s="502" t="s">
        <v>454</v>
      </c>
      <c r="D388" s="515" t="s">
        <v>825</v>
      </c>
      <c r="E388" s="503" t="s">
        <v>161</v>
      </c>
      <c r="F388" s="596">
        <f>+'F-3'!BE38</f>
        <v>94.53</v>
      </c>
      <c r="H388" s="360"/>
      <c r="I388" s="360"/>
      <c r="J388" s="379"/>
    </row>
    <row r="389" spans="2:10" ht="28.5" hidden="1" customHeight="1">
      <c r="B389" s="583"/>
      <c r="C389" s="502" t="s">
        <v>456</v>
      </c>
      <c r="D389" s="515" t="s">
        <v>758</v>
      </c>
      <c r="E389" s="503" t="s">
        <v>161</v>
      </c>
      <c r="F389" s="596">
        <f>+F382</f>
        <v>971.21999999999991</v>
      </c>
      <c r="H389" s="361"/>
      <c r="I389" s="360"/>
      <c r="J389" s="379"/>
    </row>
    <row r="390" spans="2:10" ht="28.5" hidden="1" customHeight="1">
      <c r="B390" s="583"/>
      <c r="C390" s="504" t="s">
        <v>488</v>
      </c>
      <c r="D390" s="521" t="s">
        <v>489</v>
      </c>
      <c r="E390" s="505" t="s">
        <v>156</v>
      </c>
      <c r="F390" s="597"/>
      <c r="H390" s="362"/>
      <c r="I390" s="360"/>
      <c r="J390" s="379"/>
    </row>
    <row r="391" spans="2:10" ht="28.5" hidden="1" customHeight="1">
      <c r="B391" s="584"/>
      <c r="C391" s="502" t="s">
        <v>490</v>
      </c>
      <c r="D391" s="515" t="s">
        <v>767</v>
      </c>
      <c r="E391" s="503" t="s">
        <v>161</v>
      </c>
      <c r="F391" s="596">
        <f>+'F-3'!L38</f>
        <v>971.22000000000037</v>
      </c>
      <c r="H391" s="363"/>
      <c r="I391" s="360"/>
      <c r="J391" s="379"/>
    </row>
    <row r="392" spans="2:10" ht="28.5" hidden="1" customHeight="1">
      <c r="B392" s="585"/>
      <c r="C392" s="502" t="s">
        <v>492</v>
      </c>
      <c r="D392" s="515" t="s">
        <v>768</v>
      </c>
      <c r="E392" s="503" t="s">
        <v>161</v>
      </c>
      <c r="F392" s="596">
        <f>+F391</f>
        <v>971.22000000000037</v>
      </c>
      <c r="H392" s="360"/>
      <c r="I392" s="360"/>
      <c r="J392" s="379"/>
    </row>
    <row r="393" spans="2:10" ht="28.5" hidden="1" customHeight="1">
      <c r="B393" s="583"/>
      <c r="C393" s="502" t="s">
        <v>494</v>
      </c>
      <c r="D393" s="515" t="s">
        <v>769</v>
      </c>
      <c r="E393" s="503" t="s">
        <v>161</v>
      </c>
      <c r="F393" s="596">
        <f>+F392</f>
        <v>971.22000000000037</v>
      </c>
      <c r="H393" s="360"/>
      <c r="I393" s="360"/>
      <c r="J393" s="379"/>
    </row>
    <row r="394" spans="2:10" ht="28.5" hidden="1" customHeight="1">
      <c r="B394" s="583"/>
      <c r="C394" s="504" t="s">
        <v>502</v>
      </c>
      <c r="D394" s="521" t="s">
        <v>503</v>
      </c>
      <c r="E394" s="505" t="s">
        <v>156</v>
      </c>
      <c r="F394" s="597"/>
      <c r="H394" s="360"/>
      <c r="I394" s="360"/>
      <c r="J394" s="379"/>
    </row>
    <row r="395" spans="2:10" ht="28.5" hidden="1" customHeight="1">
      <c r="B395" s="583"/>
      <c r="C395" s="506" t="s">
        <v>504</v>
      </c>
      <c r="D395" s="522" t="s">
        <v>505</v>
      </c>
      <c r="E395" s="507" t="s">
        <v>156</v>
      </c>
      <c r="F395" s="598"/>
      <c r="H395" s="360"/>
      <c r="I395" s="360"/>
      <c r="J395" s="379"/>
    </row>
    <row r="396" spans="2:10" ht="28.5" hidden="1" customHeight="1">
      <c r="B396" s="585"/>
      <c r="C396" s="502" t="s">
        <v>506</v>
      </c>
      <c r="D396" s="515" t="s">
        <v>772</v>
      </c>
      <c r="E396" s="503" t="s">
        <v>163</v>
      </c>
      <c r="F396" s="596">
        <f>+Accesorios!K27</f>
        <v>8</v>
      </c>
      <c r="H396" s="360"/>
      <c r="I396" s="360"/>
      <c r="J396" s="379"/>
    </row>
    <row r="397" spans="2:10" ht="28.5" hidden="1" customHeight="1">
      <c r="B397" s="583"/>
      <c r="C397" s="502" t="s">
        <v>508</v>
      </c>
      <c r="D397" s="515" t="s">
        <v>773</v>
      </c>
      <c r="E397" s="503" t="s">
        <v>163</v>
      </c>
      <c r="F397" s="596">
        <f>+Accesorios!K28</f>
        <v>8</v>
      </c>
      <c r="H397" s="360"/>
      <c r="I397" s="360"/>
      <c r="J397" s="379"/>
    </row>
    <row r="398" spans="2:10" ht="28.5" hidden="1" customHeight="1">
      <c r="B398" s="583"/>
      <c r="C398" s="502" t="s">
        <v>510</v>
      </c>
      <c r="D398" s="515" t="s">
        <v>774</v>
      </c>
      <c r="E398" s="503" t="s">
        <v>163</v>
      </c>
      <c r="F398" s="596">
        <f>+Accesorios!K29</f>
        <v>7</v>
      </c>
      <c r="H398" s="360"/>
      <c r="I398" s="360"/>
      <c r="J398" s="379"/>
    </row>
    <row r="399" spans="2:10" ht="28.5" hidden="1" customHeight="1">
      <c r="B399" s="583"/>
      <c r="C399" s="506" t="s">
        <v>519</v>
      </c>
      <c r="D399" s="522" t="s">
        <v>520</v>
      </c>
      <c r="E399" s="507" t="s">
        <v>156</v>
      </c>
      <c r="F399" s="598"/>
      <c r="H399" s="360"/>
      <c r="I399" s="360"/>
      <c r="J399" s="379"/>
    </row>
    <row r="400" spans="2:10" ht="28.5" hidden="1" customHeight="1">
      <c r="B400" s="584"/>
      <c r="C400" s="502" t="s">
        <v>521</v>
      </c>
      <c r="D400" s="515" t="s">
        <v>775</v>
      </c>
      <c r="E400" s="503" t="s">
        <v>163</v>
      </c>
      <c r="F400" s="596">
        <f>SUM(F396:F398)</f>
        <v>23</v>
      </c>
      <c r="H400" s="360"/>
      <c r="I400" s="360"/>
      <c r="J400" s="379"/>
    </row>
    <row r="401" spans="2:10" ht="28.5" hidden="1" customHeight="1">
      <c r="B401" s="583"/>
      <c r="C401" s="502" t="s">
        <v>523</v>
      </c>
      <c r="D401" s="515" t="s">
        <v>776</v>
      </c>
      <c r="E401" s="503" t="s">
        <v>163</v>
      </c>
      <c r="F401" s="596">
        <f>+F400</f>
        <v>23</v>
      </c>
      <c r="H401" s="363"/>
      <c r="I401" s="360"/>
      <c r="J401" s="379"/>
    </row>
    <row r="402" spans="2:10" ht="28.5" hidden="1" customHeight="1">
      <c r="B402" s="583"/>
      <c r="C402" s="502" t="s">
        <v>866</v>
      </c>
      <c r="D402" s="603" t="s">
        <v>1249</v>
      </c>
      <c r="E402" s="503" t="s">
        <v>163</v>
      </c>
      <c r="F402" s="596">
        <f>+'F-3'!U53</f>
        <v>18</v>
      </c>
      <c r="H402" s="360"/>
      <c r="I402" s="360"/>
      <c r="J402" s="379"/>
    </row>
    <row r="403" spans="2:10" ht="28.5" hidden="1" customHeight="1">
      <c r="B403" s="583"/>
      <c r="C403" s="504" t="s">
        <v>525</v>
      </c>
      <c r="D403" s="521" t="s">
        <v>169</v>
      </c>
      <c r="E403" s="505" t="s">
        <v>156</v>
      </c>
      <c r="F403" s="597"/>
      <c r="H403" s="360"/>
      <c r="I403" s="360"/>
      <c r="J403" s="379"/>
    </row>
    <row r="404" spans="2:10" ht="28.5" hidden="1" customHeight="1">
      <c r="B404" s="584"/>
      <c r="C404" s="502" t="s">
        <v>526</v>
      </c>
      <c r="D404" s="515" t="s">
        <v>527</v>
      </c>
      <c r="E404" s="503" t="s">
        <v>163</v>
      </c>
      <c r="F404" s="596">
        <f>+ROUNDUP(F391/50,0)</f>
        <v>20</v>
      </c>
      <c r="H404" s="360"/>
      <c r="I404" s="360"/>
      <c r="J404" s="379"/>
    </row>
    <row r="405" spans="2:10" ht="28.5" hidden="1" customHeight="1">
      <c r="B405" s="585"/>
      <c r="C405" s="502" t="s">
        <v>528</v>
      </c>
      <c r="D405" s="515" t="s">
        <v>529</v>
      </c>
      <c r="E405" s="503" t="s">
        <v>163</v>
      </c>
      <c r="F405" s="596">
        <v>22</v>
      </c>
      <c r="H405" s="360"/>
      <c r="I405" s="360"/>
      <c r="J405" s="379"/>
    </row>
    <row r="406" spans="2:10" ht="28.5" hidden="1" customHeight="1">
      <c r="B406" s="586"/>
      <c r="C406" s="502" t="s">
        <v>530</v>
      </c>
      <c r="D406" s="515" t="s">
        <v>770</v>
      </c>
      <c r="E406" s="503" t="s">
        <v>161</v>
      </c>
      <c r="F406" s="596">
        <f>+F393</f>
        <v>971.22000000000037</v>
      </c>
      <c r="H406" s="360"/>
      <c r="I406" s="360"/>
      <c r="J406" s="379"/>
    </row>
    <row r="407" spans="2:10" ht="28.5" hidden="1" customHeight="1">
      <c r="B407" s="583"/>
      <c r="C407" s="504" t="s">
        <v>534</v>
      </c>
      <c r="D407" s="521" t="s">
        <v>535</v>
      </c>
      <c r="E407" s="505" t="s">
        <v>156</v>
      </c>
      <c r="F407" s="597"/>
      <c r="H407" s="360"/>
      <c r="I407" s="360"/>
      <c r="J407" s="379"/>
    </row>
    <row r="408" spans="2:10" ht="28.5" hidden="1" customHeight="1">
      <c r="B408" s="583"/>
      <c r="C408" s="506" t="s">
        <v>536</v>
      </c>
      <c r="D408" s="522" t="s">
        <v>1265</v>
      </c>
      <c r="E408" s="507" t="s">
        <v>156</v>
      </c>
      <c r="F408" s="598"/>
      <c r="H408" s="360"/>
      <c r="I408" s="360"/>
      <c r="J408" s="379"/>
    </row>
    <row r="409" spans="2:10" ht="28.5" hidden="1" customHeight="1">
      <c r="B409" s="583"/>
      <c r="C409" s="508" t="s">
        <v>537</v>
      </c>
      <c r="D409" s="604" t="s">
        <v>1172</v>
      </c>
      <c r="E409" s="509" t="s">
        <v>156</v>
      </c>
      <c r="F409" s="605"/>
      <c r="H409" s="360"/>
      <c r="I409" s="360"/>
      <c r="J409" s="379"/>
    </row>
    <row r="410" spans="2:10" ht="28.5" hidden="1" customHeight="1">
      <c r="B410" s="583"/>
      <c r="C410" s="502" t="s">
        <v>538</v>
      </c>
      <c r="D410" s="515" t="s">
        <v>157</v>
      </c>
      <c r="E410" s="503" t="s">
        <v>158</v>
      </c>
      <c r="F410" s="596">
        <f>+Mejoramientos!K166</f>
        <v>7.9000000000000008E-3</v>
      </c>
      <c r="H410" s="360"/>
      <c r="I410" s="360"/>
      <c r="J410" s="379"/>
    </row>
    <row r="411" spans="2:10" ht="28.5" hidden="1" customHeight="1">
      <c r="B411" s="583"/>
      <c r="C411" s="502" t="s">
        <v>779</v>
      </c>
      <c r="D411" s="515" t="s">
        <v>159</v>
      </c>
      <c r="E411" s="503" t="s">
        <v>158</v>
      </c>
      <c r="F411" s="596">
        <f>+Mejoramientos!K167</f>
        <v>7.9000000000000008E-3</v>
      </c>
      <c r="H411" s="360"/>
      <c r="I411" s="360"/>
      <c r="J411" s="379"/>
    </row>
    <row r="412" spans="2:10" ht="28.5" hidden="1" customHeight="1">
      <c r="B412" s="583"/>
      <c r="C412" s="502" t="s">
        <v>781</v>
      </c>
      <c r="D412" s="515" t="s">
        <v>409</v>
      </c>
      <c r="E412" s="503" t="s">
        <v>161</v>
      </c>
      <c r="F412" s="596">
        <f>+Mejoramientos!K168</f>
        <v>7.9</v>
      </c>
      <c r="H412" s="360"/>
      <c r="I412" s="360"/>
      <c r="J412" s="379"/>
    </row>
    <row r="413" spans="2:10" ht="28.5" hidden="1" customHeight="1">
      <c r="B413" s="583"/>
      <c r="C413" s="502" t="s">
        <v>965</v>
      </c>
      <c r="D413" s="515" t="s">
        <v>162</v>
      </c>
      <c r="E413" s="503" t="s">
        <v>161</v>
      </c>
      <c r="F413" s="596">
        <f>+Mejoramientos!K169</f>
        <v>7.9</v>
      </c>
      <c r="H413" s="360"/>
      <c r="I413" s="360"/>
      <c r="J413" s="379"/>
    </row>
    <row r="414" spans="2:10" ht="28.5" hidden="1" customHeight="1">
      <c r="B414" s="583"/>
      <c r="C414" s="502" t="s">
        <v>966</v>
      </c>
      <c r="D414" s="515" t="s">
        <v>160</v>
      </c>
      <c r="E414" s="503" t="s">
        <v>161</v>
      </c>
      <c r="F414" s="596">
        <f>+Mejoramientos!K170</f>
        <v>3.95</v>
      </c>
      <c r="H414" s="363"/>
      <c r="I414" s="360"/>
      <c r="J414" s="379"/>
    </row>
    <row r="415" spans="2:10" ht="28.5" hidden="1" customHeight="1">
      <c r="B415" s="583"/>
      <c r="C415" s="502" t="s">
        <v>1266</v>
      </c>
      <c r="D415" s="515" t="s">
        <v>826</v>
      </c>
      <c r="E415" s="503" t="s">
        <v>161</v>
      </c>
      <c r="F415" s="596">
        <f>+Mejoramientos!K171</f>
        <v>3.95</v>
      </c>
      <c r="H415" s="360"/>
      <c r="I415" s="360"/>
      <c r="J415" s="379"/>
    </row>
    <row r="416" spans="2:10" ht="28.5" hidden="1" customHeight="1">
      <c r="B416" s="583"/>
      <c r="C416" s="502" t="s">
        <v>1267</v>
      </c>
      <c r="D416" s="515" t="s">
        <v>744</v>
      </c>
      <c r="E416" s="503" t="s">
        <v>161</v>
      </c>
      <c r="F416" s="596">
        <f>+Mejoramientos!K172</f>
        <v>3.95</v>
      </c>
      <c r="H416" s="360"/>
      <c r="I416" s="360"/>
      <c r="J416" s="379"/>
    </row>
    <row r="417" spans="2:10" ht="28.5" hidden="1" customHeight="1">
      <c r="B417" s="586"/>
      <c r="C417" s="502" t="s">
        <v>1268</v>
      </c>
      <c r="D417" s="515" t="s">
        <v>746</v>
      </c>
      <c r="E417" s="503" t="s">
        <v>161</v>
      </c>
      <c r="F417" s="596">
        <f>+Mejoramientos!K173</f>
        <v>3.95</v>
      </c>
      <c r="H417" s="360"/>
      <c r="I417" s="360"/>
      <c r="J417" s="379"/>
    </row>
    <row r="418" spans="2:10" ht="28.5" hidden="1" customHeight="1">
      <c r="B418" s="583"/>
      <c r="C418" s="502" t="s">
        <v>1269</v>
      </c>
      <c r="D418" s="515" t="s">
        <v>758</v>
      </c>
      <c r="E418" s="503" t="s">
        <v>161</v>
      </c>
      <c r="F418" s="596">
        <f>+Mejoramientos!K174</f>
        <v>3.95</v>
      </c>
      <c r="H418" s="360"/>
      <c r="I418" s="360"/>
      <c r="J418" s="379"/>
    </row>
    <row r="419" spans="2:10" ht="28.5" hidden="1" customHeight="1">
      <c r="B419" s="583"/>
      <c r="C419" s="502" t="s">
        <v>1270</v>
      </c>
      <c r="D419" s="587" t="s">
        <v>1239</v>
      </c>
      <c r="E419" s="503" t="s">
        <v>163</v>
      </c>
      <c r="F419" s="596">
        <f>+Mejoramientos!K175</f>
        <v>1</v>
      </c>
      <c r="H419" s="360"/>
      <c r="I419" s="360"/>
      <c r="J419" s="379"/>
    </row>
    <row r="420" spans="2:10" ht="28.5" hidden="1" customHeight="1">
      <c r="B420" s="583"/>
      <c r="C420" s="508" t="s">
        <v>539</v>
      </c>
      <c r="D420" s="604" t="s">
        <v>1173</v>
      </c>
      <c r="E420" s="509" t="s">
        <v>156</v>
      </c>
      <c r="F420" s="605">
        <f>+Mejoramientos!K176</f>
        <v>0</v>
      </c>
      <c r="H420" s="360"/>
      <c r="I420" s="360"/>
      <c r="J420" s="379"/>
    </row>
    <row r="421" spans="2:10" ht="28.5" hidden="1" customHeight="1">
      <c r="B421" s="583"/>
      <c r="C421" s="502" t="s">
        <v>540</v>
      </c>
      <c r="D421" s="515" t="s">
        <v>767</v>
      </c>
      <c r="E421" s="503" t="s">
        <v>161</v>
      </c>
      <c r="F421" s="596">
        <f>+Mejoramientos!K177</f>
        <v>1.8</v>
      </c>
      <c r="H421" s="360"/>
      <c r="I421" s="360"/>
      <c r="J421" s="379"/>
    </row>
    <row r="422" spans="2:10" ht="28.5" hidden="1" customHeight="1">
      <c r="B422" s="583"/>
      <c r="C422" s="502" t="s">
        <v>542</v>
      </c>
      <c r="D422" s="515" t="s">
        <v>768</v>
      </c>
      <c r="E422" s="503" t="s">
        <v>161</v>
      </c>
      <c r="F422" s="596">
        <f>+Mejoramientos!K178</f>
        <v>1.8</v>
      </c>
      <c r="H422" s="360"/>
      <c r="I422" s="360"/>
      <c r="J422" s="379"/>
    </row>
    <row r="423" spans="2:10" ht="28.5" hidden="1" customHeight="1">
      <c r="B423" s="583"/>
      <c r="C423" s="502" t="s">
        <v>544</v>
      </c>
      <c r="D423" s="587" t="s">
        <v>769</v>
      </c>
      <c r="E423" s="503" t="s">
        <v>161</v>
      </c>
      <c r="F423" s="596">
        <f>+F422</f>
        <v>1.8</v>
      </c>
      <c r="H423" s="360"/>
      <c r="I423" s="360"/>
      <c r="J423" s="379"/>
    </row>
    <row r="424" spans="2:10" ht="28.5" hidden="1" customHeight="1">
      <c r="B424" s="583"/>
      <c r="C424" s="502" t="s">
        <v>546</v>
      </c>
      <c r="D424" s="515" t="s">
        <v>770</v>
      </c>
      <c r="E424" s="503" t="s">
        <v>161</v>
      </c>
      <c r="F424" s="596">
        <f>+Mejoramientos!K180</f>
        <v>1.8</v>
      </c>
      <c r="H424" s="362"/>
      <c r="I424" s="360"/>
      <c r="J424" s="379"/>
    </row>
    <row r="425" spans="2:10" ht="28.5" hidden="1" customHeight="1">
      <c r="B425" s="583"/>
      <c r="C425" s="502" t="s">
        <v>548</v>
      </c>
      <c r="D425" s="515" t="s">
        <v>772</v>
      </c>
      <c r="E425" s="503" t="s">
        <v>163</v>
      </c>
      <c r="F425" s="596">
        <f>+Mejoramientos!K181</f>
        <v>1</v>
      </c>
      <c r="H425" s="360"/>
      <c r="I425" s="360"/>
      <c r="J425" s="379"/>
    </row>
    <row r="426" spans="2:10" ht="28.5" hidden="1" customHeight="1">
      <c r="B426" s="583"/>
      <c r="C426" s="502" t="s">
        <v>789</v>
      </c>
      <c r="D426" s="515" t="s">
        <v>773</v>
      </c>
      <c r="E426" s="503" t="s">
        <v>163</v>
      </c>
      <c r="F426" s="596">
        <f>+Mejoramientos!K182</f>
        <v>1</v>
      </c>
      <c r="H426" s="360"/>
      <c r="I426" s="360"/>
      <c r="J426" s="379"/>
    </row>
    <row r="427" spans="2:10" ht="28.5" hidden="1" customHeight="1">
      <c r="B427" s="583"/>
      <c r="C427" s="502" t="s">
        <v>791</v>
      </c>
      <c r="D427" s="515" t="s">
        <v>774</v>
      </c>
      <c r="E427" s="503" t="s">
        <v>163</v>
      </c>
      <c r="F427" s="596">
        <f>+Mejoramientos!K183</f>
        <v>1</v>
      </c>
      <c r="H427" s="360"/>
      <c r="I427" s="360"/>
      <c r="J427" s="379"/>
    </row>
    <row r="428" spans="2:10" ht="28.5" hidden="1" customHeight="1">
      <c r="B428" s="586"/>
      <c r="C428" s="502" t="s">
        <v>793</v>
      </c>
      <c r="D428" s="515" t="s">
        <v>827</v>
      </c>
      <c r="E428" s="503" t="s">
        <v>163</v>
      </c>
      <c r="F428" s="596">
        <f>+Mejoramientos!K184</f>
        <v>1</v>
      </c>
      <c r="H428" s="360"/>
      <c r="I428" s="360"/>
      <c r="J428" s="379"/>
    </row>
    <row r="429" spans="2:10" ht="28.5" hidden="1" customHeight="1">
      <c r="B429" s="583"/>
      <c r="C429" s="502" t="s">
        <v>795</v>
      </c>
      <c r="D429" s="515" t="s">
        <v>775</v>
      </c>
      <c r="E429" s="503" t="s">
        <v>163</v>
      </c>
      <c r="F429" s="596">
        <f>+Mejoramientos!K185</f>
        <v>4</v>
      </c>
      <c r="H429" s="360"/>
      <c r="I429" s="360"/>
      <c r="J429" s="379"/>
    </row>
    <row r="430" spans="2:10" ht="28.5" hidden="1" customHeight="1">
      <c r="B430" s="583"/>
      <c r="C430" s="502" t="s">
        <v>797</v>
      </c>
      <c r="D430" s="515" t="s">
        <v>776</v>
      </c>
      <c r="E430" s="503" t="s">
        <v>163</v>
      </c>
      <c r="F430" s="596">
        <f>+Mejoramientos!K186</f>
        <v>4</v>
      </c>
      <c r="H430" s="360"/>
      <c r="I430" s="360"/>
      <c r="J430" s="379"/>
    </row>
    <row r="431" spans="2:10" ht="28.5" hidden="1" customHeight="1">
      <c r="B431" s="583"/>
      <c r="C431" s="508" t="s">
        <v>550</v>
      </c>
      <c r="D431" s="604" t="s">
        <v>1271</v>
      </c>
      <c r="E431" s="509" t="s">
        <v>156</v>
      </c>
      <c r="F431" s="596">
        <f>+Mejoramientos!K187</f>
        <v>0</v>
      </c>
      <c r="H431" s="360"/>
      <c r="I431" s="360"/>
      <c r="J431" s="379"/>
    </row>
    <row r="432" spans="2:10" ht="28.5" hidden="1" customHeight="1">
      <c r="B432" s="583"/>
      <c r="C432" s="502" t="s">
        <v>551</v>
      </c>
      <c r="D432" s="515" t="s">
        <v>780</v>
      </c>
      <c r="E432" s="503" t="s">
        <v>163</v>
      </c>
      <c r="F432" s="596">
        <f>+Mejoramientos!K188</f>
        <v>1</v>
      </c>
      <c r="H432" s="360"/>
      <c r="I432" s="360"/>
      <c r="J432" s="379"/>
    </row>
    <row r="433" spans="2:10" ht="28.5" hidden="1" customHeight="1">
      <c r="B433" s="583"/>
      <c r="C433" s="502" t="s">
        <v>829</v>
      </c>
      <c r="D433" s="515" t="s">
        <v>778</v>
      </c>
      <c r="E433" s="503" t="s">
        <v>163</v>
      </c>
      <c r="F433" s="596">
        <f>+Mejoramientos!K189</f>
        <v>2</v>
      </c>
      <c r="H433" s="361"/>
      <c r="I433" s="360"/>
      <c r="J433" s="379"/>
    </row>
    <row r="434" spans="2:10" ht="28.5" hidden="1" customHeight="1">
      <c r="B434" s="583"/>
      <c r="C434" s="502" t="s">
        <v>831</v>
      </c>
      <c r="D434" s="515" t="s">
        <v>828</v>
      </c>
      <c r="E434" s="503" t="s">
        <v>161</v>
      </c>
      <c r="F434" s="596">
        <f>+Mejoramientos!K190</f>
        <v>3</v>
      </c>
      <c r="H434" s="362"/>
      <c r="I434" s="360"/>
      <c r="J434" s="379"/>
    </row>
    <row r="435" spans="2:10" ht="28.5" hidden="1" customHeight="1">
      <c r="B435" s="583"/>
      <c r="C435" s="502" t="s">
        <v>833</v>
      </c>
      <c r="D435" s="515" t="s">
        <v>830</v>
      </c>
      <c r="E435" s="503" t="s">
        <v>163</v>
      </c>
      <c r="F435" s="596">
        <f>+Mejoramientos!K191</f>
        <v>1</v>
      </c>
      <c r="H435" s="360"/>
      <c r="I435" s="360"/>
      <c r="J435" s="379"/>
    </row>
    <row r="436" spans="2:10" ht="28.5" hidden="1" customHeight="1">
      <c r="B436" s="585"/>
      <c r="C436" s="502" t="s">
        <v>835</v>
      </c>
      <c r="D436" s="515" t="s">
        <v>832</v>
      </c>
      <c r="E436" s="503" t="s">
        <v>163</v>
      </c>
      <c r="F436" s="596">
        <f>+Mejoramientos!K192</f>
        <v>1</v>
      </c>
      <c r="H436" s="360"/>
      <c r="I436" s="360"/>
      <c r="J436" s="379"/>
    </row>
    <row r="437" spans="2:10" ht="28.5" hidden="1" customHeight="1">
      <c r="B437" s="583"/>
      <c r="C437" s="502" t="s">
        <v>837</v>
      </c>
      <c r="D437" s="515" t="s">
        <v>834</v>
      </c>
      <c r="E437" s="503" t="s">
        <v>163</v>
      </c>
      <c r="F437" s="596">
        <f>+Mejoramientos!K193</f>
        <v>1</v>
      </c>
      <c r="H437" s="360"/>
      <c r="I437" s="360"/>
      <c r="J437" s="379"/>
    </row>
    <row r="438" spans="2:10" ht="28.5" hidden="1" customHeight="1">
      <c r="B438" s="583"/>
      <c r="C438" s="502" t="s">
        <v>839</v>
      </c>
      <c r="D438" s="515" t="s">
        <v>836</v>
      </c>
      <c r="E438" s="503" t="s">
        <v>163</v>
      </c>
      <c r="F438" s="596">
        <f>+Mejoramientos!K194</f>
        <v>3</v>
      </c>
      <c r="H438" s="360"/>
      <c r="I438" s="360"/>
      <c r="J438" s="379"/>
    </row>
    <row r="439" spans="2:10" ht="28.5" hidden="1" customHeight="1">
      <c r="B439" s="583"/>
      <c r="C439" s="502" t="s">
        <v>1272</v>
      </c>
      <c r="D439" s="515" t="s">
        <v>838</v>
      </c>
      <c r="E439" s="503" t="s">
        <v>163</v>
      </c>
      <c r="F439" s="596">
        <f>+Mejoramientos!K195</f>
        <v>24</v>
      </c>
      <c r="H439" s="362"/>
      <c r="I439" s="360"/>
      <c r="J439" s="379"/>
    </row>
    <row r="440" spans="2:10" ht="28.5" hidden="1" customHeight="1">
      <c r="B440" s="583"/>
      <c r="C440" s="502" t="s">
        <v>1273</v>
      </c>
      <c r="D440" s="515" t="s">
        <v>840</v>
      </c>
      <c r="E440" s="503" t="s">
        <v>163</v>
      </c>
      <c r="F440" s="596">
        <f>+Mejoramientos!K196</f>
        <v>1</v>
      </c>
      <c r="H440" s="360"/>
      <c r="I440" s="360"/>
      <c r="J440" s="379"/>
    </row>
    <row r="441" spans="2:10" ht="28.5" hidden="1" customHeight="1">
      <c r="B441" s="583"/>
      <c r="C441" s="506" t="s">
        <v>553</v>
      </c>
      <c r="D441" s="522" t="s">
        <v>1274</v>
      </c>
      <c r="E441" s="507" t="s">
        <v>156</v>
      </c>
      <c r="F441" s="596">
        <f>+Mejoramientos!K197</f>
        <v>0</v>
      </c>
      <c r="H441" s="360"/>
      <c r="I441" s="360"/>
      <c r="J441" s="379"/>
    </row>
    <row r="442" spans="2:10" ht="28.5" hidden="1" customHeight="1">
      <c r="B442" s="583"/>
      <c r="C442" s="502" t="s">
        <v>554</v>
      </c>
      <c r="D442" s="515" t="s">
        <v>778</v>
      </c>
      <c r="E442" s="503" t="s">
        <v>163</v>
      </c>
      <c r="F442" s="596">
        <f>+Mejoramientos!K198</f>
        <v>2</v>
      </c>
      <c r="H442" s="360"/>
      <c r="I442" s="360"/>
      <c r="J442" s="379"/>
    </row>
    <row r="443" spans="2:10" ht="28.5" hidden="1" customHeight="1">
      <c r="B443" s="583"/>
      <c r="C443" s="502" t="s">
        <v>557</v>
      </c>
      <c r="D443" s="587" t="s">
        <v>1239</v>
      </c>
      <c r="E443" s="503" t="s">
        <v>163</v>
      </c>
      <c r="F443" s="596">
        <f>+Mejoramientos!K199</f>
        <v>1</v>
      </c>
      <c r="H443" s="360"/>
      <c r="I443" s="360"/>
      <c r="J443" s="379"/>
    </row>
    <row r="444" spans="2:10" ht="28.5" hidden="1" customHeight="1">
      <c r="B444" s="583"/>
      <c r="C444" s="502" t="s">
        <v>565</v>
      </c>
      <c r="D444" s="515" t="s">
        <v>841</v>
      </c>
      <c r="E444" s="503" t="s">
        <v>161</v>
      </c>
      <c r="F444" s="596">
        <f>+Mejoramientos!K200</f>
        <v>1</v>
      </c>
      <c r="H444" s="362"/>
      <c r="I444" s="360"/>
      <c r="J444" s="379"/>
    </row>
    <row r="445" spans="2:10" ht="28.5" hidden="1" customHeight="1">
      <c r="B445" s="583"/>
      <c r="C445" s="502" t="s">
        <v>967</v>
      </c>
      <c r="D445" s="515" t="s">
        <v>785</v>
      </c>
      <c r="E445" s="503" t="s">
        <v>163</v>
      </c>
      <c r="F445" s="596">
        <f>+Mejoramientos!K201</f>
        <v>2</v>
      </c>
      <c r="H445" s="360"/>
      <c r="I445" s="360"/>
      <c r="J445" s="379"/>
    </row>
    <row r="446" spans="2:10" ht="28.5" hidden="1" customHeight="1">
      <c r="B446" s="583"/>
      <c r="C446" s="502" t="s">
        <v>968</v>
      </c>
      <c r="D446" s="515" t="s">
        <v>842</v>
      </c>
      <c r="E446" s="503" t="s">
        <v>163</v>
      </c>
      <c r="F446" s="596">
        <f>+Mejoramientos!K202</f>
        <v>1</v>
      </c>
      <c r="H446" s="360"/>
      <c r="I446" s="360"/>
      <c r="J446" s="379"/>
    </row>
    <row r="447" spans="2:10" ht="28.5" hidden="1" customHeight="1">
      <c r="B447" s="583"/>
      <c r="C447" s="502" t="s">
        <v>969</v>
      </c>
      <c r="D447" s="515" t="s">
        <v>809</v>
      </c>
      <c r="E447" s="503" t="s">
        <v>163</v>
      </c>
      <c r="F447" s="596">
        <f>+Mejoramientos!K203</f>
        <v>1</v>
      </c>
      <c r="H447" s="360"/>
      <c r="I447" s="360"/>
      <c r="J447" s="379"/>
    </row>
    <row r="448" spans="2:10" ht="28.5" hidden="1" customHeight="1">
      <c r="B448" s="584"/>
      <c r="C448" s="502" t="s">
        <v>970</v>
      </c>
      <c r="D448" s="515" t="s">
        <v>792</v>
      </c>
      <c r="E448" s="503" t="s">
        <v>163</v>
      </c>
      <c r="F448" s="596">
        <f>+Mejoramientos!K204</f>
        <v>1</v>
      </c>
      <c r="H448" s="360"/>
      <c r="I448" s="360"/>
      <c r="J448" s="379"/>
    </row>
    <row r="449" spans="2:10" ht="28.5" hidden="1" customHeight="1">
      <c r="B449" s="585"/>
      <c r="C449" s="502" t="s">
        <v>971</v>
      </c>
      <c r="D449" s="515" t="s">
        <v>794</v>
      </c>
      <c r="E449" s="503" t="s">
        <v>163</v>
      </c>
      <c r="F449" s="596">
        <f>+Mejoramientos!K205</f>
        <v>3</v>
      </c>
      <c r="H449" s="361"/>
      <c r="I449" s="360"/>
      <c r="J449" s="379"/>
    </row>
    <row r="450" spans="2:10" ht="28.5" hidden="1" customHeight="1">
      <c r="B450" s="583"/>
      <c r="C450" s="502" t="s">
        <v>972</v>
      </c>
      <c r="D450" s="515" t="s">
        <v>796</v>
      </c>
      <c r="E450" s="503" t="s">
        <v>163</v>
      </c>
      <c r="F450" s="596">
        <f>+Mejoramientos!K206</f>
        <v>4</v>
      </c>
      <c r="H450" s="360"/>
      <c r="I450" s="360"/>
      <c r="J450" s="379"/>
    </row>
    <row r="451" spans="2:10" ht="28.5" hidden="1" customHeight="1">
      <c r="B451" s="583"/>
      <c r="C451" s="502" t="s">
        <v>1275</v>
      </c>
      <c r="D451" s="515" t="s">
        <v>800</v>
      </c>
      <c r="E451" s="503" t="s">
        <v>163</v>
      </c>
      <c r="F451" s="596">
        <f>+Mejoramientos!K207</f>
        <v>32</v>
      </c>
      <c r="H451" s="360"/>
      <c r="I451" s="360"/>
      <c r="J451" s="379"/>
    </row>
    <row r="452" spans="2:10" ht="28.5" hidden="1" customHeight="1">
      <c r="B452" s="583"/>
      <c r="C452" s="502" t="s">
        <v>1276</v>
      </c>
      <c r="D452" s="515" t="s">
        <v>846</v>
      </c>
      <c r="E452" s="503" t="s">
        <v>163</v>
      </c>
      <c r="F452" s="596">
        <f>+Mejoramientos!K208</f>
        <v>1</v>
      </c>
      <c r="H452" s="360"/>
      <c r="I452" s="360"/>
      <c r="J452" s="379"/>
    </row>
    <row r="453" spans="2:10" ht="28.5" hidden="1" customHeight="1">
      <c r="B453" s="583"/>
      <c r="C453" s="504" t="s">
        <v>600</v>
      </c>
      <c r="D453" s="521" t="s">
        <v>238</v>
      </c>
      <c r="E453" s="505" t="s">
        <v>156</v>
      </c>
      <c r="F453" s="597"/>
      <c r="H453" s="360"/>
      <c r="I453" s="360"/>
      <c r="J453" s="379"/>
    </row>
    <row r="454" spans="2:10" ht="28.5" hidden="1" customHeight="1">
      <c r="B454" s="585"/>
      <c r="C454" s="506" t="s">
        <v>601</v>
      </c>
      <c r="D454" s="522" t="s">
        <v>847</v>
      </c>
      <c r="E454" s="507" t="s">
        <v>156</v>
      </c>
      <c r="F454" s="598"/>
      <c r="H454" s="360"/>
      <c r="I454" s="360"/>
      <c r="J454" s="379"/>
    </row>
    <row r="455" spans="2:10" ht="28.5" hidden="1" customHeight="1">
      <c r="B455" s="583"/>
      <c r="C455" s="502" t="s">
        <v>603</v>
      </c>
      <c r="D455" s="515" t="s">
        <v>620</v>
      </c>
      <c r="E455" s="503" t="s">
        <v>163</v>
      </c>
      <c r="F455" s="596">
        <f>+'F-3'!U49</f>
        <v>1</v>
      </c>
      <c r="H455" s="360"/>
      <c r="I455" s="360"/>
      <c r="J455" s="379"/>
    </row>
    <row r="456" spans="2:10" ht="28.5" hidden="1" customHeight="1">
      <c r="B456" s="583"/>
      <c r="C456" s="502" t="s">
        <v>605</v>
      </c>
      <c r="D456" s="515" t="s">
        <v>803</v>
      </c>
      <c r="E456" s="503" t="s">
        <v>163</v>
      </c>
      <c r="F456" s="596">
        <f>+F455</f>
        <v>1</v>
      </c>
      <c r="H456" s="361"/>
      <c r="I456" s="360"/>
      <c r="J456" s="379"/>
    </row>
    <row r="457" spans="2:10" ht="28.5" hidden="1" customHeight="1">
      <c r="B457" s="583"/>
      <c r="C457" s="502" t="s">
        <v>607</v>
      </c>
      <c r="D457" s="515" t="s">
        <v>812</v>
      </c>
      <c r="E457" s="503" t="s">
        <v>163</v>
      </c>
      <c r="F457" s="596">
        <f>+F456</f>
        <v>1</v>
      </c>
      <c r="H457" s="360"/>
      <c r="I457" s="360"/>
      <c r="J457" s="379"/>
    </row>
    <row r="458" spans="2:10" ht="28.5" hidden="1" customHeight="1">
      <c r="B458" s="583"/>
      <c r="C458" s="502" t="s">
        <v>609</v>
      </c>
      <c r="D458" s="515" t="s">
        <v>813</v>
      </c>
      <c r="E458" s="503" t="s">
        <v>163</v>
      </c>
      <c r="F458" s="596">
        <f>+F457</f>
        <v>1</v>
      </c>
      <c r="H458" s="361"/>
      <c r="I458" s="360"/>
      <c r="J458" s="379"/>
    </row>
    <row r="459" spans="2:10" ht="28.5" hidden="1" customHeight="1">
      <c r="B459" s="585"/>
      <c r="C459" s="506" t="s">
        <v>610</v>
      </c>
      <c r="D459" s="522" t="s">
        <v>848</v>
      </c>
      <c r="E459" s="507" t="s">
        <v>156</v>
      </c>
      <c r="F459" s="598"/>
      <c r="H459" s="360"/>
      <c r="I459" s="360"/>
      <c r="J459" s="379"/>
    </row>
    <row r="460" spans="2:10" ht="28.5" hidden="1" customHeight="1">
      <c r="B460" s="583"/>
      <c r="C460" s="502" t="s">
        <v>612</v>
      </c>
      <c r="D460" s="515" t="s">
        <v>620</v>
      </c>
      <c r="E460" s="503" t="s">
        <v>163</v>
      </c>
      <c r="F460" s="596">
        <f>+'F-3'!U50</f>
        <v>1</v>
      </c>
      <c r="H460" s="360"/>
      <c r="I460" s="360"/>
      <c r="J460" s="379"/>
    </row>
    <row r="461" spans="2:10" ht="28.5" hidden="1" customHeight="1">
      <c r="B461" s="583"/>
      <c r="C461" s="502" t="s">
        <v>614</v>
      </c>
      <c r="D461" s="515" t="s">
        <v>803</v>
      </c>
      <c r="E461" s="503" t="s">
        <v>163</v>
      </c>
      <c r="F461" s="596">
        <f>+F460</f>
        <v>1</v>
      </c>
      <c r="H461" s="358"/>
      <c r="I461" s="360"/>
      <c r="J461" s="379"/>
    </row>
    <row r="462" spans="2:10" ht="28.5" hidden="1" customHeight="1">
      <c r="B462" s="583"/>
      <c r="C462" s="502" t="s">
        <v>615</v>
      </c>
      <c r="D462" s="515" t="s">
        <v>812</v>
      </c>
      <c r="E462" s="503" t="s">
        <v>163</v>
      </c>
      <c r="F462" s="596">
        <f>+F461</f>
        <v>1</v>
      </c>
      <c r="H462" s="359"/>
      <c r="I462" s="360"/>
      <c r="J462" s="379"/>
    </row>
    <row r="463" spans="2:10" ht="28.5" hidden="1" customHeight="1">
      <c r="B463" s="583"/>
      <c r="C463" s="502" t="s">
        <v>616</v>
      </c>
      <c r="D463" s="515" t="s">
        <v>813</v>
      </c>
      <c r="E463" s="503" t="s">
        <v>163</v>
      </c>
      <c r="F463" s="596">
        <f>+F462</f>
        <v>1</v>
      </c>
      <c r="H463" s="360"/>
      <c r="I463" s="360"/>
      <c r="J463" s="379"/>
    </row>
    <row r="464" spans="2:10" ht="28.5" hidden="1" customHeight="1">
      <c r="B464" s="584"/>
      <c r="C464" s="506" t="s">
        <v>617</v>
      </c>
      <c r="D464" s="522" t="s">
        <v>849</v>
      </c>
      <c r="E464" s="507" t="s">
        <v>156</v>
      </c>
      <c r="F464" s="598"/>
      <c r="H464" s="360"/>
      <c r="I464" s="360"/>
      <c r="J464" s="379"/>
    </row>
    <row r="465" spans="2:10" ht="28.5" hidden="1" customHeight="1">
      <c r="B465" s="583"/>
      <c r="C465" s="502" t="s">
        <v>619</v>
      </c>
      <c r="D465" s="515" t="s">
        <v>630</v>
      </c>
      <c r="E465" s="503" t="s">
        <v>163</v>
      </c>
      <c r="F465" s="596">
        <f>+'F-3'!U51</f>
        <v>1</v>
      </c>
      <c r="H465" s="360"/>
      <c r="I465" s="360"/>
      <c r="J465" s="379"/>
    </row>
    <row r="466" spans="2:10" ht="28.5" hidden="1" customHeight="1">
      <c r="B466" s="583"/>
      <c r="C466" s="502" t="s">
        <v>621</v>
      </c>
      <c r="D466" s="515" t="s">
        <v>816</v>
      </c>
      <c r="E466" s="503" t="s">
        <v>163</v>
      </c>
      <c r="F466" s="596">
        <f>+F465</f>
        <v>1</v>
      </c>
      <c r="H466" s="360"/>
      <c r="I466" s="360"/>
      <c r="J466" s="379"/>
    </row>
    <row r="467" spans="2:10" ht="28.5" hidden="1" customHeight="1">
      <c r="B467" s="583"/>
      <c r="C467" s="502" t="s">
        <v>623</v>
      </c>
      <c r="D467" s="515" t="s">
        <v>817</v>
      </c>
      <c r="E467" s="503" t="s">
        <v>163</v>
      </c>
      <c r="F467" s="596">
        <f>+F466</f>
        <v>1</v>
      </c>
      <c r="H467" s="360"/>
      <c r="I467" s="360"/>
      <c r="J467" s="379"/>
    </row>
    <row r="468" spans="2:10" ht="28.5" hidden="1" customHeight="1">
      <c r="B468" s="583"/>
      <c r="C468" s="502" t="s">
        <v>625</v>
      </c>
      <c r="D468" s="515" t="s">
        <v>818</v>
      </c>
      <c r="E468" s="503" t="s">
        <v>163</v>
      </c>
      <c r="F468" s="606">
        <f>+F467</f>
        <v>1</v>
      </c>
      <c r="H468" s="360"/>
      <c r="I468" s="360"/>
      <c r="J468" s="379"/>
    </row>
    <row r="469" spans="2:10" ht="28.5" hidden="1" customHeight="1">
      <c r="B469" s="583"/>
      <c r="C469" s="504" t="s">
        <v>644</v>
      </c>
      <c r="D469" s="521" t="s">
        <v>645</v>
      </c>
      <c r="E469" s="505" t="s">
        <v>156</v>
      </c>
      <c r="F469" s="597"/>
      <c r="H469" s="360"/>
      <c r="I469" s="360"/>
      <c r="J469" s="379"/>
    </row>
    <row r="470" spans="2:10" ht="28.5" hidden="1" customHeight="1">
      <c r="B470" s="583"/>
      <c r="C470" s="502" t="s">
        <v>646</v>
      </c>
      <c r="D470" s="515" t="s">
        <v>647</v>
      </c>
      <c r="E470" s="503" t="s">
        <v>133</v>
      </c>
      <c r="F470" s="596">
        <f>+'F-3'!P45</f>
        <v>536.52800000000002</v>
      </c>
      <c r="H470" s="360"/>
      <c r="I470" s="360"/>
      <c r="J470" s="379"/>
    </row>
    <row r="471" spans="2:10" ht="28.5" hidden="1" customHeight="1">
      <c r="B471" s="584"/>
      <c r="C471" s="502" t="s">
        <v>648</v>
      </c>
      <c r="D471" s="515" t="s">
        <v>649</v>
      </c>
      <c r="E471" s="503" t="s">
        <v>163</v>
      </c>
      <c r="F471" s="596">
        <f>+'F-3'!P50</f>
        <v>1</v>
      </c>
      <c r="H471" s="359"/>
      <c r="I471" s="360"/>
      <c r="J471" s="379"/>
    </row>
    <row r="472" spans="2:10" ht="28.5" hidden="1" customHeight="1">
      <c r="B472" s="583"/>
      <c r="C472" s="502" t="s">
        <v>650</v>
      </c>
      <c r="D472" s="515" t="s">
        <v>850</v>
      </c>
      <c r="E472" s="503" t="s">
        <v>163</v>
      </c>
      <c r="F472" s="596">
        <f>+'F-3'!P53</f>
        <v>1</v>
      </c>
      <c r="H472" s="361"/>
      <c r="I472" s="360"/>
      <c r="J472" s="379"/>
    </row>
    <row r="473" spans="2:10" ht="28.5" hidden="1" customHeight="1">
      <c r="B473" s="584"/>
      <c r="C473" s="502" t="s">
        <v>651</v>
      </c>
      <c r="D473" s="515" t="s">
        <v>652</v>
      </c>
      <c r="E473" s="503" t="s">
        <v>161</v>
      </c>
      <c r="F473" s="596">
        <f>+'F-3'!P56</f>
        <v>21</v>
      </c>
      <c r="H473" s="360"/>
      <c r="I473" s="360"/>
      <c r="J473" s="379"/>
    </row>
    <row r="474" spans="2:10" ht="28.5" hidden="1" customHeight="1">
      <c r="B474" s="583"/>
      <c r="C474" s="502" t="s">
        <v>653</v>
      </c>
      <c r="D474" s="515" t="s">
        <v>851</v>
      </c>
      <c r="E474" s="503" t="s">
        <v>133</v>
      </c>
      <c r="F474" s="596">
        <f>+'F-3'!P65</f>
        <v>39.5</v>
      </c>
      <c r="H474" s="360"/>
      <c r="I474" s="360"/>
      <c r="J474" s="379"/>
    </row>
    <row r="475" spans="2:10" ht="28.5" hidden="1" customHeight="1">
      <c r="B475" s="583"/>
      <c r="C475" s="502" t="s">
        <v>655</v>
      </c>
      <c r="D475" s="515" t="s">
        <v>257</v>
      </c>
      <c r="E475" s="503" t="s">
        <v>133</v>
      </c>
      <c r="F475" s="596">
        <f>+'F-3'!P70</f>
        <v>19.5</v>
      </c>
      <c r="H475" s="360"/>
      <c r="I475" s="360"/>
      <c r="J475" s="379"/>
    </row>
    <row r="476" spans="2:10" ht="28.5" hidden="1" customHeight="1">
      <c r="B476" s="581"/>
      <c r="C476" s="504" t="s">
        <v>666</v>
      </c>
      <c r="D476" s="521" t="s">
        <v>172</v>
      </c>
      <c r="E476" s="505" t="s">
        <v>156</v>
      </c>
      <c r="F476" s="597"/>
      <c r="H476" s="360"/>
      <c r="I476" s="360"/>
      <c r="J476" s="379"/>
    </row>
    <row r="477" spans="2:10" ht="28.5" hidden="1" customHeight="1">
      <c r="B477" s="582"/>
      <c r="C477" s="502" t="s">
        <v>667</v>
      </c>
      <c r="D477" s="515" t="s">
        <v>668</v>
      </c>
      <c r="E477" s="503" t="s">
        <v>163</v>
      </c>
      <c r="F477" s="596">
        <f>+'Líneas de Impulsión'!U54</f>
        <v>2</v>
      </c>
      <c r="H477" s="360"/>
      <c r="I477" s="360"/>
      <c r="J477" s="379"/>
    </row>
    <row r="478" spans="2:10" ht="28.5" hidden="1" customHeight="1">
      <c r="B478" s="583"/>
      <c r="C478" s="504" t="s">
        <v>675</v>
      </c>
      <c r="D478" s="521" t="s">
        <v>676</v>
      </c>
      <c r="E478" s="505" t="s">
        <v>156</v>
      </c>
      <c r="F478" s="597"/>
      <c r="H478" s="360"/>
      <c r="I478" s="360"/>
      <c r="J478" s="379"/>
    </row>
    <row r="479" spans="2:10" ht="28.5" hidden="1" customHeight="1">
      <c r="B479" s="583"/>
      <c r="C479" s="502" t="s">
        <v>677</v>
      </c>
      <c r="D479" s="515" t="s">
        <v>852</v>
      </c>
      <c r="E479" s="503" t="s">
        <v>163</v>
      </c>
      <c r="F479" s="596">
        <f>+'F-3'!U45</f>
        <v>1</v>
      </c>
      <c r="H479" s="360"/>
      <c r="I479" s="360"/>
      <c r="J479" s="379"/>
    </row>
    <row r="480" spans="2:10" ht="28.5" hidden="1" customHeight="1">
      <c r="B480" s="583"/>
      <c r="C480" s="502" t="s">
        <v>679</v>
      </c>
      <c r="D480" s="515" t="s">
        <v>853</v>
      </c>
      <c r="E480" s="503" t="s">
        <v>163</v>
      </c>
      <c r="F480" s="596">
        <f>+'F-3'!U46</f>
        <v>1</v>
      </c>
      <c r="H480" s="360"/>
      <c r="I480" s="360"/>
      <c r="J480" s="379"/>
    </row>
    <row r="481" spans="1:10" ht="28.5" customHeight="1">
      <c r="B481" s="583"/>
      <c r="C481" s="607" t="s">
        <v>391</v>
      </c>
      <c r="D481" s="608" t="s">
        <v>854</v>
      </c>
      <c r="E481" s="627" t="s">
        <v>156</v>
      </c>
      <c r="F481" s="609"/>
      <c r="H481" s="360"/>
      <c r="I481" s="360"/>
      <c r="J481" s="379"/>
    </row>
    <row r="482" spans="1:10" s="657" customFormat="1" ht="28.5" customHeight="1">
      <c r="A482" s="651"/>
      <c r="B482" s="652"/>
      <c r="C482" s="653" t="s">
        <v>393</v>
      </c>
      <c r="D482" s="654" t="s">
        <v>1220</v>
      </c>
      <c r="E482" s="655" t="s">
        <v>156</v>
      </c>
      <c r="F482" s="656"/>
      <c r="H482" s="658"/>
      <c r="I482" s="658"/>
      <c r="J482" s="659"/>
    </row>
    <row r="483" spans="1:10" s="657" customFormat="1" ht="28.5" customHeight="1">
      <c r="A483" s="651"/>
      <c r="B483" s="652"/>
      <c r="C483" s="660" t="s">
        <v>394</v>
      </c>
      <c r="D483" s="661" t="s">
        <v>395</v>
      </c>
      <c r="E483" s="662" t="s">
        <v>163</v>
      </c>
      <c r="F483" s="663">
        <v>1</v>
      </c>
      <c r="H483" s="658"/>
      <c r="I483" s="658"/>
      <c r="J483" s="659"/>
    </row>
    <row r="484" spans="1:10" s="657" customFormat="1" ht="28.5" customHeight="1">
      <c r="A484" s="651"/>
      <c r="B484" s="652"/>
      <c r="C484" s="660" t="s">
        <v>396</v>
      </c>
      <c r="D484" s="661" t="s">
        <v>397</v>
      </c>
      <c r="E484" s="662" t="s">
        <v>163</v>
      </c>
      <c r="F484" s="663">
        <v>1</v>
      </c>
      <c r="H484" s="658"/>
      <c r="I484" s="658"/>
      <c r="J484" s="659"/>
    </row>
    <row r="485" spans="1:10" s="657" customFormat="1" ht="28.5" customHeight="1">
      <c r="A485" s="651"/>
      <c r="B485" s="664"/>
      <c r="C485" s="660" t="s">
        <v>398</v>
      </c>
      <c r="D485" s="661" t="s">
        <v>170</v>
      </c>
      <c r="E485" s="662" t="s">
        <v>163</v>
      </c>
      <c r="F485" s="663">
        <v>1</v>
      </c>
      <c r="H485" s="658"/>
      <c r="I485" s="658"/>
      <c r="J485" s="659"/>
    </row>
    <row r="486" spans="1:10" s="657" customFormat="1" ht="28.5" customHeight="1">
      <c r="A486" s="651"/>
      <c r="B486" s="665"/>
      <c r="C486" s="660" t="s">
        <v>399</v>
      </c>
      <c r="D486" s="661" t="s">
        <v>400</v>
      </c>
      <c r="E486" s="662" t="s">
        <v>402</v>
      </c>
      <c r="F486" s="663">
        <v>1</v>
      </c>
      <c r="H486" s="666"/>
      <c r="I486" s="658"/>
      <c r="J486" s="659"/>
    </row>
    <row r="487" spans="1:10" s="657" customFormat="1" ht="28.5" customHeight="1">
      <c r="A487" s="651"/>
      <c r="B487" s="652"/>
      <c r="C487" s="660" t="s">
        <v>401</v>
      </c>
      <c r="D487" s="667" t="s">
        <v>1361</v>
      </c>
      <c r="E487" s="662" t="s">
        <v>245</v>
      </c>
      <c r="F487" s="663">
        <v>150.5</v>
      </c>
      <c r="H487" s="658"/>
      <c r="I487" s="658"/>
      <c r="J487" s="659"/>
    </row>
    <row r="488" spans="1:10" s="657" customFormat="1" ht="28.5" customHeight="1">
      <c r="A488" s="651"/>
      <c r="B488" s="652"/>
      <c r="C488" s="660" t="s">
        <v>403</v>
      </c>
      <c r="D488" s="661" t="s">
        <v>1277</v>
      </c>
      <c r="E488" s="662" t="s">
        <v>402</v>
      </c>
      <c r="F488" s="663">
        <v>1</v>
      </c>
      <c r="H488" s="658"/>
      <c r="I488" s="658"/>
      <c r="J488" s="659"/>
    </row>
    <row r="489" spans="1:10" s="657" customFormat="1" ht="28.5" customHeight="1">
      <c r="A489" s="651"/>
      <c r="B489" s="652"/>
      <c r="C489" s="700" t="s">
        <v>1369</v>
      </c>
      <c r="D489" s="701" t="s">
        <v>1371</v>
      </c>
      <c r="E489" s="702" t="s">
        <v>402</v>
      </c>
      <c r="F489" s="703">
        <v>1</v>
      </c>
      <c r="H489" s="658"/>
      <c r="I489" s="658"/>
      <c r="J489" s="659"/>
    </row>
    <row r="490" spans="1:10" s="657" customFormat="1" ht="28.5" customHeight="1">
      <c r="A490" s="651"/>
      <c r="B490" s="652"/>
      <c r="C490" s="700" t="s">
        <v>1370</v>
      </c>
      <c r="D490" s="701" t="s">
        <v>1372</v>
      </c>
      <c r="E490" s="702" t="s">
        <v>402</v>
      </c>
      <c r="F490" s="703">
        <v>1</v>
      </c>
      <c r="H490" s="658"/>
      <c r="I490" s="658"/>
      <c r="J490" s="659"/>
    </row>
    <row r="491" spans="1:10" s="657" customFormat="1" ht="28.5" customHeight="1">
      <c r="A491" s="651"/>
      <c r="B491" s="652"/>
      <c r="C491" s="653" t="s">
        <v>404</v>
      </c>
      <c r="D491" s="654" t="s">
        <v>1278</v>
      </c>
      <c r="E491" s="655" t="s">
        <v>156</v>
      </c>
      <c r="F491" s="656"/>
      <c r="H491" s="658"/>
      <c r="I491" s="658"/>
      <c r="J491" s="659"/>
    </row>
    <row r="492" spans="1:10" s="657" customFormat="1" ht="28.5" customHeight="1">
      <c r="A492" s="651"/>
      <c r="B492" s="652"/>
      <c r="C492" s="668" t="s">
        <v>405</v>
      </c>
      <c r="D492" s="669" t="s">
        <v>173</v>
      </c>
      <c r="E492" s="670" t="s">
        <v>156</v>
      </c>
      <c r="F492" s="671"/>
      <c r="H492" s="658"/>
      <c r="I492" s="658"/>
      <c r="J492" s="659"/>
    </row>
    <row r="493" spans="1:10" s="657" customFormat="1" ht="28.5" customHeight="1">
      <c r="A493" s="651"/>
      <c r="B493" s="652"/>
      <c r="C493" s="660" t="s">
        <v>406</v>
      </c>
      <c r="D493" s="661" t="s">
        <v>157</v>
      </c>
      <c r="E493" s="662" t="s">
        <v>158</v>
      </c>
      <c r="F493" s="663">
        <f>+F502/1000</f>
        <v>0.97998999999999992</v>
      </c>
      <c r="H493" s="658"/>
      <c r="I493" s="658"/>
      <c r="J493" s="659"/>
    </row>
    <row r="494" spans="1:10" s="657" customFormat="1" ht="28.5" customHeight="1">
      <c r="A494" s="651"/>
      <c r="B494" s="652"/>
      <c r="C494" s="660" t="s">
        <v>407</v>
      </c>
      <c r="D494" s="661" t="s">
        <v>159</v>
      </c>
      <c r="E494" s="662" t="s">
        <v>158</v>
      </c>
      <c r="F494" s="663">
        <f>+F502/1000</f>
        <v>0.97998999999999992</v>
      </c>
      <c r="H494" s="658"/>
      <c r="I494" s="658"/>
      <c r="J494" s="659"/>
    </row>
    <row r="495" spans="1:10" s="657" customFormat="1" ht="28.5" customHeight="1">
      <c r="A495" s="651"/>
      <c r="B495" s="652"/>
      <c r="C495" s="660" t="s">
        <v>408</v>
      </c>
      <c r="D495" s="672" t="s">
        <v>1223</v>
      </c>
      <c r="E495" s="662" t="s">
        <v>163</v>
      </c>
      <c r="F495" s="663">
        <v>12</v>
      </c>
      <c r="H495" s="658"/>
      <c r="I495" s="658"/>
      <c r="J495" s="659"/>
    </row>
    <row r="496" spans="1:10" s="657" customFormat="1" ht="28.5" customHeight="1">
      <c r="A496" s="651"/>
      <c r="B496" s="652"/>
      <c r="C496" s="660" t="s">
        <v>410</v>
      </c>
      <c r="D496" s="672" t="s">
        <v>1224</v>
      </c>
      <c r="E496" s="662" t="s">
        <v>163</v>
      </c>
      <c r="F496" s="663">
        <v>12</v>
      </c>
      <c r="H496" s="658"/>
      <c r="I496" s="658"/>
      <c r="J496" s="659"/>
    </row>
    <row r="497" spans="1:10" s="657" customFormat="1" ht="28.5" customHeight="1">
      <c r="A497" s="651"/>
      <c r="B497" s="652"/>
      <c r="C497" s="660" t="s">
        <v>411</v>
      </c>
      <c r="D497" s="672" t="s">
        <v>1225</v>
      </c>
      <c r="E497" s="662" t="s">
        <v>163</v>
      </c>
      <c r="F497" s="663">
        <v>6</v>
      </c>
      <c r="H497" s="658"/>
      <c r="I497" s="658"/>
      <c r="J497" s="659"/>
    </row>
    <row r="498" spans="1:10" s="657" customFormat="1" ht="28.5" customHeight="1">
      <c r="A498" s="651"/>
      <c r="B498" s="652"/>
      <c r="C498" s="660" t="s">
        <v>412</v>
      </c>
      <c r="D498" s="672" t="s">
        <v>1226</v>
      </c>
      <c r="E498" s="662" t="s">
        <v>163</v>
      </c>
      <c r="F498" s="663">
        <v>6</v>
      </c>
      <c r="H498" s="658"/>
      <c r="I498" s="658"/>
      <c r="J498" s="659"/>
    </row>
    <row r="499" spans="1:10" s="657" customFormat="1" ht="28.5" customHeight="1">
      <c r="A499" s="651"/>
      <c r="B499" s="652"/>
      <c r="C499" s="660" t="s">
        <v>413</v>
      </c>
      <c r="D499" s="672" t="s">
        <v>1227</v>
      </c>
      <c r="E499" s="662" t="s">
        <v>163</v>
      </c>
      <c r="F499" s="663">
        <v>4</v>
      </c>
      <c r="H499" s="658"/>
      <c r="I499" s="658"/>
      <c r="J499" s="659"/>
    </row>
    <row r="500" spans="1:10" s="657" customFormat="1" ht="28.5" customHeight="1">
      <c r="A500" s="651"/>
      <c r="B500" s="652"/>
      <c r="C500" s="660" t="s">
        <v>415</v>
      </c>
      <c r="D500" s="661" t="s">
        <v>409</v>
      </c>
      <c r="E500" s="662" t="s">
        <v>161</v>
      </c>
      <c r="F500" s="663">
        <f>+F501</f>
        <v>1959.9799999999998</v>
      </c>
      <c r="H500" s="658"/>
      <c r="I500" s="658"/>
      <c r="J500" s="659"/>
    </row>
    <row r="501" spans="1:10" s="657" customFormat="1" ht="28.5" customHeight="1">
      <c r="A501" s="651"/>
      <c r="B501" s="652"/>
      <c r="C501" s="660" t="s">
        <v>417</v>
      </c>
      <c r="D501" s="661" t="s">
        <v>162</v>
      </c>
      <c r="E501" s="662" t="s">
        <v>161</v>
      </c>
      <c r="F501" s="663">
        <f>+F502*2</f>
        <v>1959.9799999999998</v>
      </c>
      <c r="H501" s="658"/>
      <c r="I501" s="658"/>
      <c r="J501" s="659"/>
    </row>
    <row r="502" spans="1:10" s="657" customFormat="1" ht="28.5" customHeight="1">
      <c r="A502" s="651"/>
      <c r="B502" s="652"/>
      <c r="C502" s="660" t="s">
        <v>419</v>
      </c>
      <c r="D502" s="661" t="s">
        <v>160</v>
      </c>
      <c r="E502" s="662" t="s">
        <v>161</v>
      </c>
      <c r="F502" s="663">
        <f>+'Líneas de Impulsión'!L33</f>
        <v>979.9899999999999</v>
      </c>
      <c r="H502" s="658"/>
      <c r="I502" s="658"/>
      <c r="J502" s="659"/>
    </row>
    <row r="503" spans="1:10" s="657" customFormat="1" ht="28.5" customHeight="1">
      <c r="A503" s="651"/>
      <c r="B503" s="652"/>
      <c r="C503" s="660" t="s">
        <v>421</v>
      </c>
      <c r="D503" s="661" t="s">
        <v>732</v>
      </c>
      <c r="E503" s="662" t="s">
        <v>161</v>
      </c>
      <c r="F503" s="663">
        <f>+Mejoramientos!K212</f>
        <v>178.28</v>
      </c>
      <c r="H503" s="658"/>
      <c r="I503" s="658"/>
      <c r="J503" s="659"/>
    </row>
    <row r="504" spans="1:10" s="657" customFormat="1" ht="28.5" customHeight="1">
      <c r="A504" s="651"/>
      <c r="B504" s="652"/>
      <c r="C504" s="660" t="s">
        <v>423</v>
      </c>
      <c r="D504" s="661" t="s">
        <v>414</v>
      </c>
      <c r="E504" s="662" t="s">
        <v>163</v>
      </c>
      <c r="F504" s="663">
        <f>+Mejoramientos!K219</f>
        <v>18</v>
      </c>
      <c r="H504" s="658"/>
      <c r="I504" s="658"/>
      <c r="J504" s="659"/>
    </row>
    <row r="505" spans="1:10" s="657" customFormat="1" ht="28.5" customHeight="1">
      <c r="A505" s="651"/>
      <c r="B505" s="665"/>
      <c r="C505" s="660" t="s">
        <v>425</v>
      </c>
      <c r="D505" s="661" t="s">
        <v>416</v>
      </c>
      <c r="E505" s="662" t="s">
        <v>163</v>
      </c>
      <c r="F505" s="663">
        <f>+Mejoramientos!K220</f>
        <v>12</v>
      </c>
      <c r="H505" s="658"/>
      <c r="I505" s="658"/>
      <c r="J505" s="659"/>
    </row>
    <row r="506" spans="1:10" s="657" customFormat="1" ht="28.5" customHeight="1">
      <c r="A506" s="651"/>
      <c r="B506" s="652"/>
      <c r="C506" s="660" t="s">
        <v>427</v>
      </c>
      <c r="D506" s="661" t="s">
        <v>420</v>
      </c>
      <c r="E506" s="662" t="s">
        <v>163</v>
      </c>
      <c r="F506" s="663">
        <f>+Mejoramientos!K221</f>
        <v>28</v>
      </c>
      <c r="H506" s="658"/>
      <c r="I506" s="658"/>
      <c r="J506" s="659"/>
    </row>
    <row r="507" spans="1:10" s="657" customFormat="1" ht="28.5" customHeight="1">
      <c r="A507" s="651"/>
      <c r="B507" s="652"/>
      <c r="C507" s="660" t="s">
        <v>1228</v>
      </c>
      <c r="D507" s="661" t="s">
        <v>422</v>
      </c>
      <c r="E507" s="662" t="s">
        <v>163</v>
      </c>
      <c r="F507" s="663">
        <f>+Mejoramientos!K222</f>
        <v>22</v>
      </c>
      <c r="H507" s="658"/>
      <c r="I507" s="658"/>
      <c r="J507" s="659"/>
    </row>
    <row r="508" spans="1:10" s="657" customFormat="1" ht="28.5" customHeight="1">
      <c r="A508" s="651"/>
      <c r="B508" s="652"/>
      <c r="C508" s="660" t="s">
        <v>1229</v>
      </c>
      <c r="D508" s="661" t="s">
        <v>424</v>
      </c>
      <c r="E508" s="662" t="s">
        <v>163</v>
      </c>
      <c r="F508" s="663">
        <f>+Mejoramientos!K223</f>
        <v>5</v>
      </c>
      <c r="H508" s="658"/>
      <c r="I508" s="658"/>
      <c r="J508" s="659"/>
    </row>
    <row r="509" spans="1:10" s="657" customFormat="1" ht="28.5" customHeight="1">
      <c r="A509" s="651"/>
      <c r="B509" s="652"/>
      <c r="C509" s="660" t="s">
        <v>1230</v>
      </c>
      <c r="D509" s="661" t="s">
        <v>426</v>
      </c>
      <c r="E509" s="662" t="s">
        <v>163</v>
      </c>
      <c r="F509" s="663">
        <f>+Mejoramientos!K224</f>
        <v>3</v>
      </c>
      <c r="H509" s="658"/>
      <c r="I509" s="658"/>
      <c r="J509" s="659"/>
    </row>
    <row r="510" spans="1:10" s="657" customFormat="1" ht="28.5" customHeight="1">
      <c r="A510" s="651"/>
      <c r="B510" s="652"/>
      <c r="C510" s="660" t="s">
        <v>1232</v>
      </c>
      <c r="D510" s="661" t="s">
        <v>428</v>
      </c>
      <c r="E510" s="662" t="s">
        <v>163</v>
      </c>
      <c r="F510" s="663">
        <f>+Mejoramientos!K225</f>
        <v>10</v>
      </c>
      <c r="H510" s="658"/>
      <c r="I510" s="658"/>
      <c r="J510" s="659"/>
    </row>
    <row r="511" spans="1:10" s="657" customFormat="1" ht="28.5" customHeight="1">
      <c r="A511" s="651"/>
      <c r="B511" s="652"/>
      <c r="C511" s="668" t="s">
        <v>429</v>
      </c>
      <c r="D511" s="669" t="s">
        <v>164</v>
      </c>
      <c r="E511" s="670" t="s">
        <v>156</v>
      </c>
      <c r="F511" s="671"/>
      <c r="H511" s="658"/>
      <c r="I511" s="658"/>
      <c r="J511" s="659"/>
    </row>
    <row r="512" spans="1:10" s="657" customFormat="1" ht="28.5" customHeight="1">
      <c r="A512" s="651"/>
      <c r="B512" s="652"/>
      <c r="C512" s="673" t="s">
        <v>430</v>
      </c>
      <c r="D512" s="661" t="s">
        <v>734</v>
      </c>
      <c r="E512" s="662" t="s">
        <v>161</v>
      </c>
      <c r="F512" s="663">
        <f>+'Líneas de Impulsión'!AA33</f>
        <v>105.03</v>
      </c>
      <c r="H512" s="658"/>
      <c r="I512" s="658"/>
      <c r="J512" s="659"/>
    </row>
    <row r="513" spans="1:10" s="680" customFormat="1" ht="28.5" customHeight="1">
      <c r="A513" s="674"/>
      <c r="B513" s="675"/>
      <c r="C513" s="676" t="s">
        <v>432</v>
      </c>
      <c r="D513" s="677" t="s">
        <v>735</v>
      </c>
      <c r="E513" s="678" t="s">
        <v>161</v>
      </c>
      <c r="F513" s="679">
        <f>+'Líneas de Impulsión'!AB33</f>
        <v>250.60000000000002</v>
      </c>
      <c r="H513" s="681"/>
      <c r="I513" s="682"/>
      <c r="J513" s="683"/>
    </row>
    <row r="514" spans="1:10" s="680" customFormat="1" ht="28.5" customHeight="1">
      <c r="A514" s="674"/>
      <c r="B514" s="675"/>
      <c r="C514" s="676" t="s">
        <v>433</v>
      </c>
      <c r="D514" s="677" t="s">
        <v>736</v>
      </c>
      <c r="E514" s="678" t="s">
        <v>161</v>
      </c>
      <c r="F514" s="679">
        <f>+'Líneas de Impulsión'!AC33</f>
        <v>335.97</v>
      </c>
      <c r="H514" s="682"/>
      <c r="I514" s="682"/>
      <c r="J514" s="683"/>
    </row>
    <row r="515" spans="1:10" s="657" customFormat="1" ht="28.5" customHeight="1">
      <c r="A515" s="651"/>
      <c r="B515" s="652"/>
      <c r="C515" s="676" t="s">
        <v>434</v>
      </c>
      <c r="D515" s="661" t="s">
        <v>855</v>
      </c>
      <c r="E515" s="662" t="s">
        <v>161</v>
      </c>
      <c r="F515" s="663">
        <f>+'Líneas de Impulsión'!AT33</f>
        <v>74.94</v>
      </c>
      <c r="H515" s="658"/>
      <c r="I515" s="658"/>
      <c r="J515" s="659"/>
    </row>
    <row r="516" spans="1:10" s="657" customFormat="1" ht="28.5" customHeight="1">
      <c r="A516" s="651"/>
      <c r="B516" s="652"/>
      <c r="C516" s="676" t="s">
        <v>436</v>
      </c>
      <c r="D516" s="661" t="s">
        <v>739</v>
      </c>
      <c r="E516" s="662" t="s">
        <v>161</v>
      </c>
      <c r="F516" s="663">
        <f>+'Líneas de Impulsión'!AU33</f>
        <v>139.59</v>
      </c>
      <c r="H516" s="658"/>
      <c r="I516" s="658"/>
      <c r="J516" s="659"/>
    </row>
    <row r="517" spans="1:10" s="657" customFormat="1" ht="28.5" customHeight="1">
      <c r="A517" s="651"/>
      <c r="B517" s="652"/>
      <c r="C517" s="676" t="s">
        <v>438</v>
      </c>
      <c r="D517" s="661" t="s">
        <v>741</v>
      </c>
      <c r="E517" s="662" t="s">
        <v>161</v>
      </c>
      <c r="F517" s="663">
        <f>+'Líneas de Impulsión'!AW33</f>
        <v>10.08</v>
      </c>
      <c r="H517" s="666"/>
      <c r="I517" s="658"/>
      <c r="J517" s="659"/>
    </row>
    <row r="518" spans="1:10" s="657" customFormat="1" ht="28.5" customHeight="1">
      <c r="A518" s="651"/>
      <c r="B518" s="652"/>
      <c r="C518" s="676" t="s">
        <v>440</v>
      </c>
      <c r="D518" s="661" t="s">
        <v>742</v>
      </c>
      <c r="E518" s="662" t="s">
        <v>161</v>
      </c>
      <c r="F518" s="663">
        <f>+'Líneas de Impulsión'!AX33</f>
        <v>54.97</v>
      </c>
      <c r="H518" s="684"/>
      <c r="I518" s="658"/>
      <c r="J518" s="659"/>
    </row>
    <row r="519" spans="1:10" s="657" customFormat="1" ht="28.5" customHeight="1">
      <c r="A519" s="651"/>
      <c r="B519" s="652"/>
      <c r="C519" s="676" t="s">
        <v>442</v>
      </c>
      <c r="D519" s="661" t="s">
        <v>743</v>
      </c>
      <c r="E519" s="662" t="s">
        <v>161</v>
      </c>
      <c r="F519" s="663">
        <f>+'Líneas de Impulsión'!AY33</f>
        <v>8.81</v>
      </c>
      <c r="H519" s="658"/>
      <c r="I519" s="658"/>
      <c r="J519" s="659"/>
    </row>
    <row r="520" spans="1:10" s="657" customFormat="1" ht="28.5" customHeight="1">
      <c r="A520" s="651"/>
      <c r="B520" s="652"/>
      <c r="C520" s="676" t="s">
        <v>444</v>
      </c>
      <c r="D520" s="661" t="s">
        <v>744</v>
      </c>
      <c r="E520" s="662" t="s">
        <v>161</v>
      </c>
      <c r="F520" s="663">
        <f>SUM(F512:F514)</f>
        <v>691.6</v>
      </c>
      <c r="H520" s="658"/>
      <c r="I520" s="658"/>
      <c r="J520" s="659"/>
    </row>
    <row r="521" spans="1:10" s="657" customFormat="1" ht="28.5" customHeight="1">
      <c r="A521" s="651"/>
      <c r="B521" s="652"/>
      <c r="C521" s="676" t="s">
        <v>446</v>
      </c>
      <c r="D521" s="692" t="s">
        <v>745</v>
      </c>
      <c r="E521" s="662" t="s">
        <v>161</v>
      </c>
      <c r="F521" s="663">
        <f>SUM(F515:F519)</f>
        <v>288.39000000000004</v>
      </c>
      <c r="H521" s="658"/>
      <c r="I521" s="658"/>
      <c r="J521" s="659"/>
    </row>
    <row r="522" spans="1:10" s="657" customFormat="1" ht="28.5" customHeight="1">
      <c r="A522" s="651"/>
      <c r="B522" s="652"/>
      <c r="C522" s="676" t="s">
        <v>448</v>
      </c>
      <c r="D522" s="692" t="s">
        <v>747</v>
      </c>
      <c r="E522" s="662" t="s">
        <v>161</v>
      </c>
      <c r="F522" s="663">
        <f t="shared" ref="F522:F525" si="5">+F512</f>
        <v>105.03</v>
      </c>
      <c r="H522" s="658"/>
      <c r="I522" s="658"/>
      <c r="J522" s="659"/>
    </row>
    <row r="523" spans="1:10" s="657" customFormat="1" ht="28.5" customHeight="1">
      <c r="A523" s="651"/>
      <c r="B523" s="652"/>
      <c r="C523" s="676" t="s">
        <v>450</v>
      </c>
      <c r="D523" s="692" t="s">
        <v>748</v>
      </c>
      <c r="E523" s="662" t="s">
        <v>161</v>
      </c>
      <c r="F523" s="663">
        <f t="shared" si="5"/>
        <v>250.60000000000002</v>
      </c>
      <c r="H523" s="684"/>
      <c r="I523" s="658"/>
      <c r="J523" s="659"/>
    </row>
    <row r="524" spans="1:10" s="657" customFormat="1" ht="28.5" customHeight="1">
      <c r="A524" s="651"/>
      <c r="B524" s="652"/>
      <c r="C524" s="676" t="s">
        <v>452</v>
      </c>
      <c r="D524" s="661" t="s">
        <v>749</v>
      </c>
      <c r="E524" s="662" t="s">
        <v>161</v>
      </c>
      <c r="F524" s="663">
        <f t="shared" si="5"/>
        <v>335.97</v>
      </c>
      <c r="H524" s="658"/>
      <c r="I524" s="658"/>
      <c r="J524" s="659"/>
    </row>
    <row r="525" spans="1:10" s="657" customFormat="1" ht="28.5" customHeight="1">
      <c r="A525" s="651"/>
      <c r="B525" s="652"/>
      <c r="C525" s="676" t="s">
        <v>454</v>
      </c>
      <c r="D525" s="661" t="s">
        <v>856</v>
      </c>
      <c r="E525" s="662" t="s">
        <v>161</v>
      </c>
      <c r="F525" s="663">
        <f t="shared" si="5"/>
        <v>74.94</v>
      </c>
      <c r="H525" s="658"/>
      <c r="I525" s="658"/>
      <c r="J525" s="659"/>
    </row>
    <row r="526" spans="1:10" s="657" customFormat="1" ht="28.5" customHeight="1">
      <c r="A526" s="651"/>
      <c r="B526" s="652"/>
      <c r="C526" s="676" t="s">
        <v>456</v>
      </c>
      <c r="D526" s="661" t="s">
        <v>752</v>
      </c>
      <c r="E526" s="662" t="s">
        <v>161</v>
      </c>
      <c r="F526" s="663">
        <f>+F516</f>
        <v>139.59</v>
      </c>
      <c r="H526" s="658"/>
      <c r="I526" s="658"/>
      <c r="J526" s="659"/>
    </row>
    <row r="527" spans="1:10" s="657" customFormat="1" ht="28.5" customHeight="1">
      <c r="A527" s="651"/>
      <c r="B527" s="652"/>
      <c r="C527" s="676" t="s">
        <v>458</v>
      </c>
      <c r="D527" s="661" t="s">
        <v>754</v>
      </c>
      <c r="E527" s="662" t="s">
        <v>161</v>
      </c>
      <c r="F527" s="663">
        <f>+F517</f>
        <v>10.08</v>
      </c>
      <c r="H527" s="666"/>
      <c r="I527" s="658"/>
      <c r="J527" s="659"/>
    </row>
    <row r="528" spans="1:10" s="657" customFormat="1" ht="28.5" customHeight="1">
      <c r="A528" s="651"/>
      <c r="B528" s="652"/>
      <c r="C528" s="676" t="s">
        <v>460</v>
      </c>
      <c r="D528" s="661" t="s">
        <v>755</v>
      </c>
      <c r="E528" s="662" t="s">
        <v>161</v>
      </c>
      <c r="F528" s="663">
        <f>+F518</f>
        <v>54.97</v>
      </c>
      <c r="H528" s="658"/>
      <c r="I528" s="658"/>
      <c r="J528" s="659"/>
    </row>
    <row r="529" spans="1:10" s="657" customFormat="1" ht="28.5" customHeight="1">
      <c r="A529" s="651"/>
      <c r="B529" s="652"/>
      <c r="C529" s="676" t="s">
        <v>462</v>
      </c>
      <c r="D529" s="661" t="s">
        <v>756</v>
      </c>
      <c r="E529" s="662" t="s">
        <v>161</v>
      </c>
      <c r="F529" s="663">
        <f>+F519</f>
        <v>8.81</v>
      </c>
      <c r="H529" s="658"/>
      <c r="I529" s="658"/>
      <c r="J529" s="659"/>
    </row>
    <row r="530" spans="1:10" s="657" customFormat="1" ht="28.5" customHeight="1">
      <c r="A530" s="651"/>
      <c r="B530" s="652"/>
      <c r="C530" s="676" t="s">
        <v>464</v>
      </c>
      <c r="D530" s="692" t="s">
        <v>1373</v>
      </c>
      <c r="E530" s="662" t="s">
        <v>161</v>
      </c>
      <c r="F530" s="663">
        <f>+'Líneas de Impulsión'!AT43</f>
        <v>74.94</v>
      </c>
      <c r="H530" s="658"/>
      <c r="I530" s="658"/>
      <c r="J530" s="659"/>
    </row>
    <row r="531" spans="1:10" s="657" customFormat="1" ht="28.5" customHeight="1">
      <c r="A531" s="651"/>
      <c r="B531" s="652"/>
      <c r="C531" s="676" t="s">
        <v>466</v>
      </c>
      <c r="D531" s="692" t="s">
        <v>1374</v>
      </c>
      <c r="E531" s="662" t="s">
        <v>161</v>
      </c>
      <c r="F531" s="663">
        <f>+'Líneas de Impulsión'!AU43</f>
        <v>30.17</v>
      </c>
      <c r="H531" s="658"/>
      <c r="I531" s="658"/>
      <c r="J531" s="659"/>
    </row>
    <row r="532" spans="1:10" s="657" customFormat="1" ht="28.5" customHeight="1">
      <c r="A532" s="651"/>
      <c r="B532" s="652"/>
      <c r="C532" s="676" t="s">
        <v>468</v>
      </c>
      <c r="D532" s="692" t="s">
        <v>1375</v>
      </c>
      <c r="E532" s="662" t="s">
        <v>161</v>
      </c>
      <c r="F532" s="663">
        <f>+'Líneas de Impulsión'!AW43</f>
        <v>10.08</v>
      </c>
      <c r="H532" s="658"/>
      <c r="I532" s="658"/>
      <c r="J532" s="659"/>
    </row>
    <row r="533" spans="1:10" s="657" customFormat="1" ht="28.5" customHeight="1">
      <c r="A533" s="651"/>
      <c r="B533" s="652"/>
      <c r="C533" s="676" t="s">
        <v>470</v>
      </c>
      <c r="D533" s="692" t="s">
        <v>1376</v>
      </c>
      <c r="E533" s="662" t="s">
        <v>161</v>
      </c>
      <c r="F533" s="663">
        <f>+'Líneas de Impulsión'!AX43</f>
        <v>6.42</v>
      </c>
      <c r="H533" s="658"/>
      <c r="I533" s="658"/>
      <c r="J533" s="659"/>
    </row>
    <row r="534" spans="1:10" s="657" customFormat="1" ht="28.5" customHeight="1">
      <c r="A534" s="651"/>
      <c r="B534" s="665"/>
      <c r="C534" s="676" t="s">
        <v>472</v>
      </c>
      <c r="D534" s="661" t="s">
        <v>758</v>
      </c>
      <c r="E534" s="662" t="s">
        <v>161</v>
      </c>
      <c r="F534" s="663">
        <f>+F520</f>
        <v>691.6</v>
      </c>
      <c r="H534" s="666"/>
      <c r="I534" s="658"/>
      <c r="J534" s="659"/>
    </row>
    <row r="535" spans="1:10" s="657" customFormat="1" ht="28.5" customHeight="1">
      <c r="A535" s="651"/>
      <c r="B535" s="652"/>
      <c r="C535" s="676" t="s">
        <v>474</v>
      </c>
      <c r="D535" s="661" t="s">
        <v>857</v>
      </c>
      <c r="E535" s="662" t="s">
        <v>161</v>
      </c>
      <c r="F535" s="663">
        <f>+F525</f>
        <v>74.94</v>
      </c>
      <c r="H535" s="684"/>
      <c r="I535" s="658"/>
      <c r="J535" s="659"/>
    </row>
    <row r="536" spans="1:10" s="657" customFormat="1" ht="28.5" customHeight="1">
      <c r="A536" s="651"/>
      <c r="B536" s="652"/>
      <c r="C536" s="676" t="s">
        <v>476</v>
      </c>
      <c r="D536" s="661" t="s">
        <v>760</v>
      </c>
      <c r="E536" s="662" t="s">
        <v>161</v>
      </c>
      <c r="F536" s="663">
        <f>+F526</f>
        <v>139.59</v>
      </c>
      <c r="H536" s="658"/>
      <c r="I536" s="658"/>
      <c r="J536" s="659"/>
    </row>
    <row r="537" spans="1:10" s="657" customFormat="1" ht="28.5" customHeight="1">
      <c r="A537" s="651"/>
      <c r="B537" s="652"/>
      <c r="C537" s="676" t="s">
        <v>478</v>
      </c>
      <c r="D537" s="661" t="s">
        <v>762</v>
      </c>
      <c r="E537" s="662" t="s">
        <v>161</v>
      </c>
      <c r="F537" s="663">
        <f>+F527</f>
        <v>10.08</v>
      </c>
      <c r="H537" s="658"/>
      <c r="I537" s="658"/>
      <c r="J537" s="659"/>
    </row>
    <row r="538" spans="1:10" s="657" customFormat="1" ht="28.5" customHeight="1">
      <c r="A538" s="651"/>
      <c r="B538" s="665"/>
      <c r="C538" s="676" t="s">
        <v>480</v>
      </c>
      <c r="D538" s="661" t="s">
        <v>764</v>
      </c>
      <c r="E538" s="662" t="s">
        <v>161</v>
      </c>
      <c r="F538" s="663">
        <f>+F528</f>
        <v>54.97</v>
      </c>
      <c r="H538" s="658"/>
      <c r="I538" s="658"/>
      <c r="J538" s="659"/>
    </row>
    <row r="539" spans="1:10" s="657" customFormat="1" ht="28.5" customHeight="1">
      <c r="A539" s="651"/>
      <c r="B539" s="685"/>
      <c r="C539" s="676" t="s">
        <v>482</v>
      </c>
      <c r="D539" s="661" t="s">
        <v>766</v>
      </c>
      <c r="E539" s="662" t="s">
        <v>161</v>
      </c>
      <c r="F539" s="663">
        <f>+F529</f>
        <v>8.81</v>
      </c>
      <c r="H539" s="658"/>
      <c r="I539" s="658"/>
      <c r="J539" s="659"/>
    </row>
    <row r="540" spans="1:10" s="680" customFormat="1" ht="28.5" customHeight="1">
      <c r="A540" s="674"/>
      <c r="B540" s="686"/>
      <c r="C540" s="676" t="s">
        <v>484</v>
      </c>
      <c r="D540" s="677" t="s">
        <v>1364</v>
      </c>
      <c r="E540" s="678" t="s">
        <v>161</v>
      </c>
      <c r="F540" s="679">
        <f>+F513</f>
        <v>250.60000000000002</v>
      </c>
      <c r="H540" s="682"/>
      <c r="I540" s="682"/>
      <c r="J540" s="683"/>
    </row>
    <row r="541" spans="1:10" s="680" customFormat="1" ht="28.5" customHeight="1">
      <c r="A541" s="674"/>
      <c r="B541" s="686"/>
      <c r="C541" s="676" t="s">
        <v>486</v>
      </c>
      <c r="D541" s="677" t="s">
        <v>1365</v>
      </c>
      <c r="E541" s="678" t="s">
        <v>161</v>
      </c>
      <c r="F541" s="679">
        <f>+F514</f>
        <v>335.97</v>
      </c>
      <c r="H541" s="682"/>
      <c r="I541" s="682"/>
      <c r="J541" s="683"/>
    </row>
    <row r="542" spans="1:10" s="657" customFormat="1" ht="28.5" customHeight="1">
      <c r="A542" s="651"/>
      <c r="B542" s="652"/>
      <c r="C542" s="668" t="s">
        <v>488</v>
      </c>
      <c r="D542" s="669" t="s">
        <v>489</v>
      </c>
      <c r="E542" s="670" t="s">
        <v>156</v>
      </c>
      <c r="F542" s="671"/>
      <c r="H542" s="658"/>
      <c r="I542" s="658"/>
      <c r="J542" s="659"/>
    </row>
    <row r="543" spans="1:10" s="657" customFormat="1" ht="28.5" customHeight="1">
      <c r="A543" s="651"/>
      <c r="B543" s="652"/>
      <c r="C543" s="660" t="s">
        <v>490</v>
      </c>
      <c r="D543" s="661" t="s">
        <v>858</v>
      </c>
      <c r="E543" s="662" t="s">
        <v>161</v>
      </c>
      <c r="F543" s="663">
        <f>+'Líneas de Impulsión'!L33</f>
        <v>979.9899999999999</v>
      </c>
      <c r="H543" s="658"/>
      <c r="I543" s="658"/>
      <c r="J543" s="659"/>
    </row>
    <row r="544" spans="1:10" s="657" customFormat="1" ht="28.5" customHeight="1">
      <c r="A544" s="651"/>
      <c r="B544" s="652"/>
      <c r="C544" s="660" t="s">
        <v>492</v>
      </c>
      <c r="D544" s="661" t="s">
        <v>859</v>
      </c>
      <c r="E544" s="662" t="s">
        <v>161</v>
      </c>
      <c r="F544" s="663">
        <f>+F543</f>
        <v>979.9899999999999</v>
      </c>
      <c r="H544" s="658"/>
      <c r="I544" s="658"/>
      <c r="J544" s="659"/>
    </row>
    <row r="545" spans="1:10" s="657" customFormat="1" ht="28.5" customHeight="1">
      <c r="A545" s="651"/>
      <c r="B545" s="652"/>
      <c r="C545" s="660" t="s">
        <v>494</v>
      </c>
      <c r="D545" s="661" t="s">
        <v>860</v>
      </c>
      <c r="E545" s="662" t="s">
        <v>161</v>
      </c>
      <c r="F545" s="663">
        <f>+F544</f>
        <v>979.9899999999999</v>
      </c>
      <c r="H545" s="658"/>
      <c r="I545" s="658"/>
      <c r="J545" s="659"/>
    </row>
    <row r="546" spans="1:10" s="657" customFormat="1" ht="28.5" customHeight="1">
      <c r="A546" s="651"/>
      <c r="B546" s="652"/>
      <c r="C546" s="668" t="s">
        <v>502</v>
      </c>
      <c r="D546" s="669" t="s">
        <v>503</v>
      </c>
      <c r="E546" s="670" t="s">
        <v>156</v>
      </c>
      <c r="F546" s="671"/>
      <c r="H546" s="684"/>
      <c r="I546" s="658"/>
      <c r="J546" s="659"/>
    </row>
    <row r="547" spans="1:10" s="657" customFormat="1" ht="28.5" customHeight="1">
      <c r="A547" s="651"/>
      <c r="B547" s="685"/>
      <c r="C547" s="687" t="s">
        <v>504</v>
      </c>
      <c r="D547" s="688" t="s">
        <v>505</v>
      </c>
      <c r="E547" s="689" t="s">
        <v>156</v>
      </c>
      <c r="F547" s="690"/>
      <c r="H547" s="691"/>
      <c r="I547" s="658"/>
      <c r="J547" s="659"/>
    </row>
    <row r="548" spans="1:10" s="657" customFormat="1" ht="28.5" customHeight="1">
      <c r="A548" s="651"/>
      <c r="B548" s="652"/>
      <c r="C548" s="660" t="s">
        <v>506</v>
      </c>
      <c r="D548" s="661" t="s">
        <v>861</v>
      </c>
      <c r="E548" s="662" t="s">
        <v>163</v>
      </c>
      <c r="F548" s="663">
        <f>+Accesorios!K31</f>
        <v>1</v>
      </c>
      <c r="H548" s="658"/>
      <c r="I548" s="658"/>
      <c r="J548" s="659"/>
    </row>
    <row r="549" spans="1:10" s="657" customFormat="1" ht="28.5" customHeight="1">
      <c r="A549" s="651"/>
      <c r="B549" s="652"/>
      <c r="C549" s="660" t="s">
        <v>508</v>
      </c>
      <c r="D549" s="661" t="s">
        <v>862</v>
      </c>
      <c r="E549" s="662" t="s">
        <v>163</v>
      </c>
      <c r="F549" s="663">
        <f>+Accesorios!K32</f>
        <v>15</v>
      </c>
      <c r="H549" s="658"/>
      <c r="I549" s="658"/>
      <c r="J549" s="659"/>
    </row>
    <row r="550" spans="1:10" s="657" customFormat="1" ht="28.5" customHeight="1">
      <c r="A550" s="651"/>
      <c r="B550" s="652"/>
      <c r="C550" s="660" t="s">
        <v>510</v>
      </c>
      <c r="D550" s="661" t="s">
        <v>863</v>
      </c>
      <c r="E550" s="662" t="s">
        <v>163</v>
      </c>
      <c r="F550" s="663">
        <f>+Accesorios!K33</f>
        <v>12</v>
      </c>
      <c r="H550" s="658"/>
      <c r="I550" s="658"/>
      <c r="J550" s="659"/>
    </row>
    <row r="551" spans="1:10" s="657" customFormat="1" ht="28.5" customHeight="1">
      <c r="A551" s="651"/>
      <c r="B551" s="665"/>
      <c r="C551" s="660" t="s">
        <v>512</v>
      </c>
      <c r="D551" s="661" t="s">
        <v>864</v>
      </c>
      <c r="E551" s="662" t="s">
        <v>163</v>
      </c>
      <c r="F551" s="663">
        <f>+Accesorios!K34</f>
        <v>9</v>
      </c>
      <c r="H551" s="658"/>
      <c r="I551" s="658"/>
      <c r="J551" s="659"/>
    </row>
    <row r="552" spans="1:10" s="657" customFormat="1" ht="28.5" customHeight="1">
      <c r="A552" s="651"/>
      <c r="B552" s="652"/>
      <c r="C552" s="660" t="s">
        <v>514</v>
      </c>
      <c r="D552" s="661" t="s">
        <v>865</v>
      </c>
      <c r="E552" s="662" t="s">
        <v>163</v>
      </c>
      <c r="F552" s="663">
        <f>+Accesorios!K35</f>
        <v>1</v>
      </c>
      <c r="H552" s="658"/>
      <c r="I552" s="658"/>
      <c r="J552" s="659"/>
    </row>
    <row r="553" spans="1:10" s="657" customFormat="1" ht="28.5" customHeight="1">
      <c r="A553" s="651"/>
      <c r="B553" s="652"/>
      <c r="C553" s="687" t="s">
        <v>519</v>
      </c>
      <c r="D553" s="688" t="s">
        <v>520</v>
      </c>
      <c r="E553" s="689" t="s">
        <v>156</v>
      </c>
      <c r="F553" s="690"/>
      <c r="H553" s="658"/>
      <c r="I553" s="658"/>
      <c r="J553" s="659"/>
    </row>
    <row r="554" spans="1:10" s="657" customFormat="1" ht="28.5" customHeight="1">
      <c r="A554" s="651"/>
      <c r="B554" s="652"/>
      <c r="C554" s="660" t="s">
        <v>521</v>
      </c>
      <c r="D554" s="661" t="s">
        <v>775</v>
      </c>
      <c r="E554" s="662" t="s">
        <v>163</v>
      </c>
      <c r="F554" s="663">
        <f>SUM(F548:F552)</f>
        <v>38</v>
      </c>
      <c r="H554" s="658"/>
      <c r="I554" s="658"/>
      <c r="J554" s="659"/>
    </row>
    <row r="555" spans="1:10" s="657" customFormat="1" ht="28.5" customHeight="1">
      <c r="A555" s="651"/>
      <c r="B555" s="665"/>
      <c r="C555" s="660" t="s">
        <v>523</v>
      </c>
      <c r="D555" s="661" t="s">
        <v>776</v>
      </c>
      <c r="E555" s="662" t="s">
        <v>163</v>
      </c>
      <c r="F555" s="663">
        <f>+F554</f>
        <v>38</v>
      </c>
      <c r="H555" s="658"/>
      <c r="I555" s="658"/>
      <c r="J555" s="659"/>
    </row>
    <row r="556" spans="1:10" s="657" customFormat="1" ht="28.5" customHeight="1">
      <c r="A556" s="651"/>
      <c r="B556" s="685"/>
      <c r="C556" s="660" t="s">
        <v>866</v>
      </c>
      <c r="D556" s="692" t="s">
        <v>1279</v>
      </c>
      <c r="E556" s="662" t="s">
        <v>163</v>
      </c>
      <c r="F556" s="663">
        <f>+'Líneas de Impulsión'!U56</f>
        <v>20</v>
      </c>
      <c r="H556" s="658"/>
      <c r="I556" s="658"/>
      <c r="J556" s="659"/>
    </row>
    <row r="557" spans="1:10" s="657" customFormat="1" ht="28.5" customHeight="1">
      <c r="A557" s="651"/>
      <c r="B557" s="652"/>
      <c r="C557" s="668" t="s">
        <v>525</v>
      </c>
      <c r="D557" s="669" t="s">
        <v>169</v>
      </c>
      <c r="E557" s="670" t="s">
        <v>156</v>
      </c>
      <c r="F557" s="671"/>
      <c r="H557" s="691"/>
      <c r="I557" s="658"/>
      <c r="J557" s="659"/>
    </row>
    <row r="558" spans="1:10" s="657" customFormat="1" ht="28.5" customHeight="1">
      <c r="A558" s="651"/>
      <c r="B558" s="652"/>
      <c r="C558" s="660" t="s">
        <v>526</v>
      </c>
      <c r="D558" s="661" t="s">
        <v>527</v>
      </c>
      <c r="E558" s="662" t="s">
        <v>163</v>
      </c>
      <c r="F558" s="663">
        <f>+ROUND(F543/50,0)</f>
        <v>20</v>
      </c>
      <c r="H558" s="658"/>
      <c r="I558" s="658"/>
      <c r="J558" s="659"/>
    </row>
    <row r="559" spans="1:10" s="657" customFormat="1" ht="28.5" customHeight="1">
      <c r="A559" s="651"/>
      <c r="B559" s="652"/>
      <c r="C559" s="660" t="s">
        <v>528</v>
      </c>
      <c r="D559" s="661" t="s">
        <v>529</v>
      </c>
      <c r="E559" s="662" t="s">
        <v>163</v>
      </c>
      <c r="F559" s="663">
        <v>28</v>
      </c>
      <c r="H559" s="658"/>
      <c r="I559" s="658"/>
      <c r="J559" s="659"/>
    </row>
    <row r="560" spans="1:10" s="657" customFormat="1" ht="28.5" customHeight="1">
      <c r="A560" s="651"/>
      <c r="B560" s="652"/>
      <c r="C560" s="660" t="s">
        <v>530</v>
      </c>
      <c r="D560" s="661" t="s">
        <v>770</v>
      </c>
      <c r="E560" s="662" t="s">
        <v>161</v>
      </c>
      <c r="F560" s="663">
        <f>+F543</f>
        <v>979.9899999999999</v>
      </c>
      <c r="H560" s="658"/>
      <c r="I560" s="658"/>
      <c r="J560" s="659"/>
    </row>
    <row r="561" spans="1:10" s="657" customFormat="1" ht="28.5" customHeight="1">
      <c r="A561" s="651"/>
      <c r="B561" s="652"/>
      <c r="C561" s="668" t="s">
        <v>534</v>
      </c>
      <c r="D561" s="669" t="s">
        <v>535</v>
      </c>
      <c r="E561" s="670" t="s">
        <v>156</v>
      </c>
      <c r="F561" s="671"/>
      <c r="H561" s="658"/>
      <c r="I561" s="658"/>
      <c r="J561" s="659"/>
    </row>
    <row r="562" spans="1:10" s="657" customFormat="1" ht="28.5" customHeight="1">
      <c r="A562" s="651"/>
      <c r="B562" s="652"/>
      <c r="C562" s="687" t="s">
        <v>536</v>
      </c>
      <c r="D562" s="688" t="s">
        <v>1280</v>
      </c>
      <c r="E562" s="689" t="s">
        <v>156</v>
      </c>
      <c r="F562" s="690"/>
      <c r="H562" s="658"/>
      <c r="I562" s="658"/>
      <c r="J562" s="659"/>
    </row>
    <row r="563" spans="1:10" s="657" customFormat="1" ht="28.5" customHeight="1">
      <c r="A563" s="651"/>
      <c r="B563" s="652"/>
      <c r="C563" s="660" t="s">
        <v>537</v>
      </c>
      <c r="D563" s="672" t="s">
        <v>1239</v>
      </c>
      <c r="E563" s="662" t="s">
        <v>163</v>
      </c>
      <c r="F563" s="663">
        <f>+Mejoramientos!K228</f>
        <v>1</v>
      </c>
      <c r="H563" s="658"/>
      <c r="I563" s="658"/>
      <c r="J563" s="659"/>
    </row>
    <row r="564" spans="1:10" s="657" customFormat="1" ht="28.5" customHeight="1">
      <c r="A564" s="651"/>
      <c r="B564" s="652"/>
      <c r="C564" s="660" t="s">
        <v>539</v>
      </c>
      <c r="D564" s="661" t="s">
        <v>867</v>
      </c>
      <c r="E564" s="662" t="s">
        <v>161</v>
      </c>
      <c r="F564" s="663">
        <f>+Mejoramientos!K229</f>
        <v>4.4000000000000004</v>
      </c>
      <c r="H564" s="658"/>
      <c r="I564" s="658"/>
      <c r="J564" s="659"/>
    </row>
    <row r="565" spans="1:10" s="657" customFormat="1" ht="28.5" customHeight="1">
      <c r="A565" s="651"/>
      <c r="B565" s="685"/>
      <c r="C565" s="660" t="s">
        <v>550</v>
      </c>
      <c r="D565" s="672" t="s">
        <v>1281</v>
      </c>
      <c r="E565" s="662" t="s">
        <v>163</v>
      </c>
      <c r="F565" s="663">
        <f>+Mejoramientos!K230</f>
        <v>1</v>
      </c>
      <c r="H565" s="658"/>
      <c r="I565" s="658"/>
      <c r="J565" s="659"/>
    </row>
    <row r="566" spans="1:10" s="657" customFormat="1" ht="28.5" customHeight="1">
      <c r="A566" s="651"/>
      <c r="B566" s="693"/>
      <c r="C566" s="660" t="s">
        <v>869</v>
      </c>
      <c r="D566" s="661" t="s">
        <v>868</v>
      </c>
      <c r="E566" s="662" t="s">
        <v>163</v>
      </c>
      <c r="F566" s="663">
        <f>+Mejoramientos!K231</f>
        <v>2</v>
      </c>
      <c r="H566" s="658"/>
      <c r="I566" s="658"/>
      <c r="J566" s="659"/>
    </row>
    <row r="567" spans="1:10" s="657" customFormat="1" ht="28.5" customHeight="1">
      <c r="A567" s="651"/>
      <c r="B567" s="652"/>
      <c r="C567" s="660" t="s">
        <v>871</v>
      </c>
      <c r="D567" s="661" t="s">
        <v>870</v>
      </c>
      <c r="E567" s="662" t="s">
        <v>163</v>
      </c>
      <c r="F567" s="663">
        <f>+Mejoramientos!K232</f>
        <v>3</v>
      </c>
      <c r="H567" s="658"/>
      <c r="I567" s="658"/>
      <c r="J567" s="659"/>
    </row>
    <row r="568" spans="1:10" s="657" customFormat="1" ht="28.5" customHeight="1">
      <c r="A568" s="651"/>
      <c r="B568" s="652"/>
      <c r="C568" s="660" t="s">
        <v>872</v>
      </c>
      <c r="D568" s="661" t="s">
        <v>798</v>
      </c>
      <c r="E568" s="662" t="s">
        <v>163</v>
      </c>
      <c r="F568" s="663">
        <f>+Mejoramientos!K233</f>
        <v>4</v>
      </c>
      <c r="H568" s="684"/>
      <c r="I568" s="658"/>
      <c r="J568" s="659"/>
    </row>
    <row r="569" spans="1:10" s="657" customFormat="1" ht="28.5" customHeight="1">
      <c r="A569" s="651"/>
      <c r="B569" s="652"/>
      <c r="C569" s="660" t="s">
        <v>873</v>
      </c>
      <c r="D569" s="661" t="s">
        <v>801</v>
      </c>
      <c r="E569" s="662" t="s">
        <v>163</v>
      </c>
      <c r="F569" s="663">
        <f>+Mejoramientos!K234</f>
        <v>32</v>
      </c>
      <c r="H569" s="658"/>
      <c r="I569" s="658"/>
      <c r="J569" s="659"/>
    </row>
    <row r="570" spans="1:10" s="657" customFormat="1" ht="28.5" customHeight="1">
      <c r="A570" s="651"/>
      <c r="B570" s="652"/>
      <c r="C570" s="660" t="s">
        <v>874</v>
      </c>
      <c r="D570" s="661" t="s">
        <v>810</v>
      </c>
      <c r="E570" s="662" t="s">
        <v>163</v>
      </c>
      <c r="F570" s="663">
        <f>+Mejoramientos!K235</f>
        <v>1</v>
      </c>
      <c r="H570" s="658"/>
      <c r="I570" s="658"/>
      <c r="J570" s="659"/>
    </row>
    <row r="571" spans="1:10" s="657" customFormat="1" ht="28.5" customHeight="1">
      <c r="A571" s="651"/>
      <c r="B571" s="652"/>
      <c r="C571" s="687" t="s">
        <v>553</v>
      </c>
      <c r="D571" s="688" t="s">
        <v>1282</v>
      </c>
      <c r="E571" s="689" t="s">
        <v>156</v>
      </c>
      <c r="F571" s="663">
        <f>+Mejoramientos!K236</f>
        <v>0</v>
      </c>
      <c r="H571" s="658"/>
      <c r="I571" s="658"/>
      <c r="J571" s="659"/>
    </row>
    <row r="572" spans="1:10" s="657" customFormat="1" ht="28.5" customHeight="1">
      <c r="A572" s="651"/>
      <c r="B572" s="652"/>
      <c r="C572" s="694" t="s">
        <v>554</v>
      </c>
      <c r="D572" s="695" t="s">
        <v>777</v>
      </c>
      <c r="E572" s="696" t="s">
        <v>156</v>
      </c>
      <c r="F572" s="663">
        <f>+Mejoramientos!K237</f>
        <v>0</v>
      </c>
      <c r="H572" s="658"/>
      <c r="I572" s="658"/>
      <c r="J572" s="659"/>
    </row>
    <row r="573" spans="1:10" s="657" customFormat="1" ht="28.5" customHeight="1">
      <c r="A573" s="651"/>
      <c r="B573" s="652"/>
      <c r="C573" s="660" t="s">
        <v>555</v>
      </c>
      <c r="D573" s="661" t="s">
        <v>157</v>
      </c>
      <c r="E573" s="662" t="s">
        <v>158</v>
      </c>
      <c r="F573" s="663">
        <f>+Mejoramientos!K238</f>
        <v>1.771E-2</v>
      </c>
      <c r="H573" s="658"/>
      <c r="I573" s="658"/>
      <c r="J573" s="659"/>
    </row>
    <row r="574" spans="1:10" s="657" customFormat="1" ht="28.5" customHeight="1">
      <c r="A574" s="651"/>
      <c r="B574" s="652"/>
      <c r="C574" s="660" t="s">
        <v>806</v>
      </c>
      <c r="D574" s="661" t="s">
        <v>159</v>
      </c>
      <c r="E574" s="662" t="s">
        <v>158</v>
      </c>
      <c r="F574" s="663">
        <f>+Mejoramientos!K239</f>
        <v>1.771E-2</v>
      </c>
      <c r="H574" s="658"/>
      <c r="I574" s="658"/>
      <c r="J574" s="659"/>
    </row>
    <row r="575" spans="1:10" s="657" customFormat="1" ht="28.5" customHeight="1">
      <c r="A575" s="651"/>
      <c r="B575" s="652"/>
      <c r="C575" s="660" t="s">
        <v>808</v>
      </c>
      <c r="D575" s="661" t="s">
        <v>409</v>
      </c>
      <c r="E575" s="662" t="s">
        <v>161</v>
      </c>
      <c r="F575" s="663">
        <f>+Mejoramientos!K240</f>
        <v>35.42</v>
      </c>
      <c r="H575" s="658"/>
      <c r="I575" s="658"/>
      <c r="J575" s="659"/>
    </row>
    <row r="576" spans="1:10" s="657" customFormat="1" ht="28.5" customHeight="1">
      <c r="A576" s="651"/>
      <c r="B576" s="652"/>
      <c r="C576" s="660" t="s">
        <v>875</v>
      </c>
      <c r="D576" s="661" t="s">
        <v>162</v>
      </c>
      <c r="E576" s="662" t="s">
        <v>161</v>
      </c>
      <c r="F576" s="663">
        <f>+Mejoramientos!K241</f>
        <v>35.42</v>
      </c>
      <c r="H576" s="658"/>
      <c r="I576" s="658"/>
      <c r="J576" s="659"/>
    </row>
    <row r="577" spans="1:10" s="657" customFormat="1" ht="28.5" customHeight="1">
      <c r="A577" s="651"/>
      <c r="B577" s="693"/>
      <c r="C577" s="660" t="s">
        <v>876</v>
      </c>
      <c r="D577" s="661" t="s">
        <v>160</v>
      </c>
      <c r="E577" s="662" t="s">
        <v>161</v>
      </c>
      <c r="F577" s="663">
        <f>+Mejoramientos!K242</f>
        <v>17.71</v>
      </c>
      <c r="H577" s="658"/>
      <c r="I577" s="658"/>
      <c r="J577" s="659"/>
    </row>
    <row r="578" spans="1:10" s="657" customFormat="1" ht="28.5" customHeight="1">
      <c r="A578" s="651"/>
      <c r="B578" s="652"/>
      <c r="C578" s="660" t="s">
        <v>1283</v>
      </c>
      <c r="D578" s="661" t="s">
        <v>739</v>
      </c>
      <c r="E578" s="662" t="s">
        <v>161</v>
      </c>
      <c r="F578" s="663">
        <f>+Mejoramientos!K243</f>
        <v>17.71</v>
      </c>
      <c r="H578" s="658"/>
      <c r="I578" s="658"/>
      <c r="J578" s="659"/>
    </row>
    <row r="579" spans="1:10" s="657" customFormat="1" ht="28.5" customHeight="1">
      <c r="A579" s="651"/>
      <c r="B579" s="652"/>
      <c r="C579" s="660" t="s">
        <v>1284</v>
      </c>
      <c r="D579" s="661" t="s">
        <v>745</v>
      </c>
      <c r="E579" s="662" t="s">
        <v>161</v>
      </c>
      <c r="F579" s="663">
        <f>+Mejoramientos!K244</f>
        <v>17.71</v>
      </c>
      <c r="H579" s="666"/>
      <c r="I579" s="658"/>
      <c r="J579" s="659"/>
    </row>
    <row r="580" spans="1:10" s="657" customFormat="1" ht="28.5" customHeight="1">
      <c r="A580" s="651"/>
      <c r="B580" s="652"/>
      <c r="C580" s="660" t="s">
        <v>1285</v>
      </c>
      <c r="D580" s="661" t="s">
        <v>752</v>
      </c>
      <c r="E580" s="662" t="s">
        <v>161</v>
      </c>
      <c r="F580" s="663">
        <f>+Mejoramientos!K245</f>
        <v>17.71</v>
      </c>
      <c r="H580" s="684"/>
      <c r="I580" s="658"/>
      <c r="J580" s="659"/>
    </row>
    <row r="581" spans="1:10" s="657" customFormat="1" ht="28.5" customHeight="1">
      <c r="A581" s="651"/>
      <c r="B581" s="652"/>
      <c r="C581" s="660" t="s">
        <v>1286</v>
      </c>
      <c r="D581" s="661" t="s">
        <v>760</v>
      </c>
      <c r="E581" s="662" t="s">
        <v>161</v>
      </c>
      <c r="F581" s="663">
        <f>+Mejoramientos!K246</f>
        <v>17.71</v>
      </c>
      <c r="H581" s="658"/>
      <c r="I581" s="658"/>
      <c r="J581" s="659"/>
    </row>
    <row r="582" spans="1:10" s="657" customFormat="1" ht="28.5" customHeight="1">
      <c r="A582" s="651"/>
      <c r="B582" s="652"/>
      <c r="C582" s="660" t="s">
        <v>1287</v>
      </c>
      <c r="D582" s="672" t="s">
        <v>1239</v>
      </c>
      <c r="E582" s="662" t="s">
        <v>163</v>
      </c>
      <c r="F582" s="663">
        <f>+Mejoramientos!K247</f>
        <v>1</v>
      </c>
      <c r="H582" s="658"/>
      <c r="I582" s="658"/>
      <c r="J582" s="659"/>
    </row>
    <row r="583" spans="1:10" s="657" customFormat="1" ht="28.5" customHeight="1">
      <c r="A583" s="651"/>
      <c r="B583" s="652"/>
      <c r="C583" s="694" t="s">
        <v>557</v>
      </c>
      <c r="D583" s="697" t="s">
        <v>1288</v>
      </c>
      <c r="E583" s="696" t="s">
        <v>156</v>
      </c>
      <c r="F583" s="663">
        <f>+Mejoramientos!K248</f>
        <v>0</v>
      </c>
      <c r="H583" s="658"/>
      <c r="I583" s="658"/>
      <c r="J583" s="659"/>
    </row>
    <row r="584" spans="1:10" s="657" customFormat="1" ht="28.5" customHeight="1">
      <c r="A584" s="651"/>
      <c r="B584" s="652"/>
      <c r="C584" s="660" t="s">
        <v>558</v>
      </c>
      <c r="D584" s="661" t="s">
        <v>858</v>
      </c>
      <c r="E584" s="662" t="s">
        <v>161</v>
      </c>
      <c r="F584" s="663">
        <f>+Mejoramientos!K249</f>
        <v>17.71</v>
      </c>
      <c r="H584" s="658"/>
      <c r="I584" s="658"/>
      <c r="J584" s="659"/>
    </row>
    <row r="585" spans="1:10" s="657" customFormat="1" ht="28.5" customHeight="1">
      <c r="A585" s="651"/>
      <c r="B585" s="652"/>
      <c r="C585" s="660" t="s">
        <v>559</v>
      </c>
      <c r="D585" s="661" t="s">
        <v>859</v>
      </c>
      <c r="E585" s="662" t="s">
        <v>161</v>
      </c>
      <c r="F585" s="663">
        <f>+Mejoramientos!K250</f>
        <v>17.71</v>
      </c>
      <c r="H585" s="684"/>
      <c r="I585" s="658"/>
      <c r="J585" s="659"/>
    </row>
    <row r="586" spans="1:10" s="657" customFormat="1" ht="28.5" customHeight="1">
      <c r="A586" s="651"/>
      <c r="B586" s="652"/>
      <c r="C586" s="660" t="s">
        <v>560</v>
      </c>
      <c r="D586" s="661" t="s">
        <v>860</v>
      </c>
      <c r="E586" s="662" t="s">
        <v>161</v>
      </c>
      <c r="F586" s="663">
        <f>+Mejoramientos!K251</f>
        <v>17.71</v>
      </c>
      <c r="H586" s="658"/>
      <c r="I586" s="658"/>
      <c r="J586" s="659"/>
    </row>
    <row r="587" spans="1:10" s="657" customFormat="1" ht="28.5" customHeight="1">
      <c r="A587" s="651"/>
      <c r="B587" s="652"/>
      <c r="C587" s="660" t="s">
        <v>561</v>
      </c>
      <c r="D587" s="661" t="s">
        <v>877</v>
      </c>
      <c r="E587" s="662" t="s">
        <v>161</v>
      </c>
      <c r="F587" s="663">
        <f>+Mejoramientos!K252</f>
        <v>17.71</v>
      </c>
      <c r="H587" s="658"/>
      <c r="I587" s="658"/>
      <c r="J587" s="659"/>
    </row>
    <row r="588" spans="1:10" s="657" customFormat="1" ht="28.5" customHeight="1">
      <c r="A588" s="651"/>
      <c r="B588" s="652"/>
      <c r="C588" s="660" t="s">
        <v>562</v>
      </c>
      <c r="D588" s="661" t="s">
        <v>862</v>
      </c>
      <c r="E588" s="662" t="s">
        <v>163</v>
      </c>
      <c r="F588" s="663">
        <f>+Mejoramientos!K253</f>
        <v>2</v>
      </c>
      <c r="H588" s="658"/>
      <c r="I588" s="658"/>
      <c r="J588" s="659"/>
    </row>
    <row r="589" spans="1:10" s="657" customFormat="1" ht="28.5" customHeight="1">
      <c r="A589" s="651"/>
      <c r="B589" s="652"/>
      <c r="C589" s="660" t="s">
        <v>564</v>
      </c>
      <c r="D589" s="672" t="s">
        <v>1281</v>
      </c>
      <c r="E589" s="662" t="s">
        <v>163</v>
      </c>
      <c r="F589" s="663">
        <f>+Mejoramientos!K254</f>
        <v>1</v>
      </c>
      <c r="H589" s="658"/>
      <c r="I589" s="658"/>
      <c r="J589" s="659"/>
    </row>
    <row r="590" spans="1:10" s="657" customFormat="1" ht="28.5" customHeight="1">
      <c r="A590" s="651"/>
      <c r="B590" s="685"/>
      <c r="C590" s="660" t="s">
        <v>843</v>
      </c>
      <c r="D590" s="661" t="s">
        <v>878</v>
      </c>
      <c r="E590" s="662" t="s">
        <v>163</v>
      </c>
      <c r="F590" s="663">
        <f>+Mejoramientos!K255</f>
        <v>1</v>
      </c>
      <c r="H590" s="684"/>
      <c r="I590" s="658"/>
      <c r="J590" s="659"/>
    </row>
    <row r="591" spans="1:10" s="657" customFormat="1" ht="28.5" customHeight="1">
      <c r="A591" s="651"/>
      <c r="B591" s="652"/>
      <c r="C591" s="660" t="s">
        <v>844</v>
      </c>
      <c r="D591" s="672" t="s">
        <v>606</v>
      </c>
      <c r="E591" s="662" t="s">
        <v>163</v>
      </c>
      <c r="F591" s="663">
        <f>+Mejoramientos!K256</f>
        <v>1</v>
      </c>
      <c r="H591" s="658"/>
      <c r="I591" s="658"/>
      <c r="J591" s="659"/>
    </row>
    <row r="592" spans="1:10" s="657" customFormat="1" ht="28.5" customHeight="1">
      <c r="A592" s="651"/>
      <c r="B592" s="652"/>
      <c r="C592" s="660" t="s">
        <v>845</v>
      </c>
      <c r="D592" s="672" t="s">
        <v>798</v>
      </c>
      <c r="E592" s="662" t="s">
        <v>163</v>
      </c>
      <c r="F592" s="663">
        <f>+Mejoramientos!K257</f>
        <v>2</v>
      </c>
      <c r="H592" s="658"/>
      <c r="I592" s="658"/>
      <c r="J592" s="659"/>
    </row>
    <row r="593" spans="1:10" s="657" customFormat="1" ht="28.5" customHeight="1">
      <c r="A593" s="651"/>
      <c r="B593" s="652"/>
      <c r="C593" s="660" t="s">
        <v>1289</v>
      </c>
      <c r="D593" s="672" t="s">
        <v>801</v>
      </c>
      <c r="E593" s="662" t="s">
        <v>163</v>
      </c>
      <c r="F593" s="663">
        <f>+Mejoramientos!K258</f>
        <v>16</v>
      </c>
      <c r="H593" s="658"/>
      <c r="I593" s="658"/>
      <c r="J593" s="659"/>
    </row>
    <row r="594" spans="1:10" s="657" customFormat="1" ht="28.5" customHeight="1">
      <c r="A594" s="651"/>
      <c r="B594" s="652"/>
      <c r="C594" s="660" t="s">
        <v>1290</v>
      </c>
      <c r="D594" s="661" t="s">
        <v>775</v>
      </c>
      <c r="E594" s="662" t="s">
        <v>163</v>
      </c>
      <c r="F594" s="663">
        <f>+Mejoramientos!K259</f>
        <v>4</v>
      </c>
      <c r="H594" s="658"/>
      <c r="I594" s="658"/>
      <c r="J594" s="659"/>
    </row>
    <row r="595" spans="1:10" s="657" customFormat="1" ht="28.5" customHeight="1">
      <c r="A595" s="651"/>
      <c r="B595" s="652"/>
      <c r="C595" s="660" t="s">
        <v>1291</v>
      </c>
      <c r="D595" s="661" t="s">
        <v>776</v>
      </c>
      <c r="E595" s="662" t="s">
        <v>163</v>
      </c>
      <c r="F595" s="663">
        <f>+Mejoramientos!K260</f>
        <v>4</v>
      </c>
      <c r="H595" s="684"/>
      <c r="I595" s="658"/>
      <c r="J595" s="659"/>
    </row>
    <row r="596" spans="1:10" s="657" customFormat="1" ht="28.5" customHeight="1">
      <c r="A596" s="651"/>
      <c r="B596" s="652"/>
      <c r="C596" s="687" t="s">
        <v>567</v>
      </c>
      <c r="D596" s="688" t="s">
        <v>1292</v>
      </c>
      <c r="E596" s="689" t="s">
        <v>156</v>
      </c>
      <c r="F596" s="663">
        <f>+Mejoramientos!K261</f>
        <v>0</v>
      </c>
      <c r="H596" s="658"/>
      <c r="I596" s="658"/>
      <c r="J596" s="659"/>
    </row>
    <row r="597" spans="1:10" s="657" customFormat="1" ht="28.5" customHeight="1">
      <c r="A597" s="651"/>
      <c r="B597" s="652"/>
      <c r="C597" s="660" t="s">
        <v>568</v>
      </c>
      <c r="D597" s="661" t="s">
        <v>879</v>
      </c>
      <c r="E597" s="662" t="s">
        <v>163</v>
      </c>
      <c r="F597" s="663">
        <f>+Mejoramientos!K262</f>
        <v>1</v>
      </c>
      <c r="H597" s="658"/>
      <c r="I597" s="658"/>
      <c r="J597" s="659"/>
    </row>
    <row r="598" spans="1:10" s="657" customFormat="1" ht="28.5" customHeight="1">
      <c r="A598" s="651"/>
      <c r="B598" s="652"/>
      <c r="C598" s="660" t="s">
        <v>571</v>
      </c>
      <c r="D598" s="661" t="s">
        <v>807</v>
      </c>
      <c r="E598" s="662" t="s">
        <v>133</v>
      </c>
      <c r="F598" s="663">
        <f>+Mejoramientos!K263</f>
        <v>8</v>
      </c>
      <c r="H598" s="658"/>
      <c r="I598" s="658"/>
      <c r="J598" s="659"/>
    </row>
    <row r="599" spans="1:10" s="657" customFormat="1" ht="28.5" customHeight="1">
      <c r="A599" s="651"/>
      <c r="B599" s="652"/>
      <c r="C599" s="660" t="s">
        <v>595</v>
      </c>
      <c r="D599" s="672" t="s">
        <v>1239</v>
      </c>
      <c r="E599" s="662" t="s">
        <v>163</v>
      </c>
      <c r="F599" s="663">
        <f>+Mejoramientos!K264</f>
        <v>1</v>
      </c>
      <c r="H599" s="658"/>
      <c r="I599" s="658"/>
      <c r="J599" s="659"/>
    </row>
    <row r="600" spans="1:10" s="657" customFormat="1" ht="28.5" customHeight="1">
      <c r="A600" s="651"/>
      <c r="B600" s="652"/>
      <c r="C600" s="660" t="s">
        <v>598</v>
      </c>
      <c r="D600" s="661" t="s">
        <v>1293</v>
      </c>
      <c r="E600" s="662" t="s">
        <v>161</v>
      </c>
      <c r="F600" s="663">
        <f>+Mejoramientos!K265</f>
        <v>5.9</v>
      </c>
      <c r="H600" s="684"/>
      <c r="I600" s="658"/>
      <c r="J600" s="659"/>
    </row>
    <row r="601" spans="1:10" s="657" customFormat="1" ht="28.5" customHeight="1">
      <c r="A601" s="651"/>
      <c r="B601" s="665"/>
      <c r="C601" s="660" t="s">
        <v>1159</v>
      </c>
      <c r="D601" s="661" t="s">
        <v>784</v>
      </c>
      <c r="E601" s="662" t="s">
        <v>161</v>
      </c>
      <c r="F601" s="663">
        <f>+Mejoramientos!K266</f>
        <v>1</v>
      </c>
      <c r="H601" s="658"/>
      <c r="I601" s="658"/>
      <c r="J601" s="659"/>
    </row>
    <row r="602" spans="1:10" s="657" customFormat="1" ht="28.5" customHeight="1">
      <c r="A602" s="651"/>
      <c r="B602" s="685"/>
      <c r="C602" s="660" t="s">
        <v>1160</v>
      </c>
      <c r="D602" s="661" t="s">
        <v>881</v>
      </c>
      <c r="E602" s="662" t="s">
        <v>163</v>
      </c>
      <c r="F602" s="663">
        <f>+Mejoramientos!K267</f>
        <v>1</v>
      </c>
      <c r="H602" s="658"/>
      <c r="I602" s="658"/>
      <c r="J602" s="659"/>
    </row>
    <row r="603" spans="1:10" s="657" customFormat="1" ht="28.5" customHeight="1">
      <c r="A603" s="651"/>
      <c r="B603" s="652"/>
      <c r="C603" s="660" t="s">
        <v>1161</v>
      </c>
      <c r="D603" s="661" t="s">
        <v>809</v>
      </c>
      <c r="E603" s="662" t="s">
        <v>163</v>
      </c>
      <c r="F603" s="663">
        <f>+Mejoramientos!K268</f>
        <v>1</v>
      </c>
      <c r="H603" s="658"/>
      <c r="I603" s="658"/>
      <c r="J603" s="659"/>
    </row>
    <row r="604" spans="1:10" s="657" customFormat="1" ht="28.5" customHeight="1">
      <c r="A604" s="651"/>
      <c r="B604" s="652"/>
      <c r="C604" s="660" t="s">
        <v>1162</v>
      </c>
      <c r="D604" s="661" t="s">
        <v>862</v>
      </c>
      <c r="E604" s="662" t="s">
        <v>163</v>
      </c>
      <c r="F604" s="663">
        <f>+Mejoramientos!K269</f>
        <v>2</v>
      </c>
      <c r="H604" s="658"/>
      <c r="I604" s="658"/>
      <c r="J604" s="659"/>
    </row>
    <row r="605" spans="1:10" s="657" customFormat="1" ht="28.5" customHeight="1">
      <c r="A605" s="651"/>
      <c r="B605" s="652"/>
      <c r="C605" s="660" t="s">
        <v>1163</v>
      </c>
      <c r="D605" s="661" t="s">
        <v>878</v>
      </c>
      <c r="E605" s="662" t="s">
        <v>163</v>
      </c>
      <c r="F605" s="663">
        <f>+Mejoramientos!K270</f>
        <v>1</v>
      </c>
      <c r="H605" s="666"/>
      <c r="I605" s="658"/>
      <c r="J605" s="659"/>
    </row>
    <row r="606" spans="1:10" s="657" customFormat="1" ht="28.5" customHeight="1">
      <c r="A606" s="651"/>
      <c r="B606" s="652"/>
      <c r="C606" s="660" t="s">
        <v>1164</v>
      </c>
      <c r="D606" s="661" t="s">
        <v>882</v>
      </c>
      <c r="E606" s="662" t="s">
        <v>163</v>
      </c>
      <c r="F606" s="663">
        <f>+Mejoramientos!K271</f>
        <v>1</v>
      </c>
      <c r="H606" s="658"/>
      <c r="I606" s="658"/>
      <c r="J606" s="659"/>
    </row>
    <row r="607" spans="1:10" s="657" customFormat="1" ht="28.5" customHeight="1">
      <c r="A607" s="651"/>
      <c r="B607" s="685"/>
      <c r="C607" s="668" t="s">
        <v>600</v>
      </c>
      <c r="D607" s="669" t="s">
        <v>238</v>
      </c>
      <c r="E607" s="670" t="s">
        <v>156</v>
      </c>
      <c r="F607" s="671"/>
      <c r="H607" s="658"/>
      <c r="I607" s="658"/>
      <c r="J607" s="659"/>
    </row>
    <row r="608" spans="1:10" s="657" customFormat="1" ht="28.5" customHeight="1">
      <c r="A608" s="651"/>
      <c r="B608" s="652"/>
      <c r="C608" s="687" t="s">
        <v>601</v>
      </c>
      <c r="D608" s="688" t="s">
        <v>883</v>
      </c>
      <c r="E608" s="689" t="s">
        <v>156</v>
      </c>
      <c r="F608" s="690"/>
      <c r="H608" s="658"/>
      <c r="I608" s="658"/>
      <c r="J608" s="659"/>
    </row>
    <row r="609" spans="1:10" s="657" customFormat="1" ht="28.5" customHeight="1">
      <c r="A609" s="651"/>
      <c r="B609" s="652"/>
      <c r="C609" s="660" t="s">
        <v>603</v>
      </c>
      <c r="D609" s="661" t="s">
        <v>884</v>
      </c>
      <c r="E609" s="662" t="s">
        <v>163</v>
      </c>
      <c r="F609" s="663">
        <f>+'Líneas de Impulsión'!U47</f>
        <v>1</v>
      </c>
      <c r="H609" s="658"/>
      <c r="I609" s="658"/>
      <c r="J609" s="659"/>
    </row>
    <row r="610" spans="1:10" s="657" customFormat="1" ht="28.5" customHeight="1">
      <c r="A610" s="651"/>
      <c r="B610" s="652"/>
      <c r="C610" s="660" t="s">
        <v>605</v>
      </c>
      <c r="D610" s="661" t="s">
        <v>803</v>
      </c>
      <c r="E610" s="662" t="s">
        <v>163</v>
      </c>
      <c r="F610" s="663">
        <f>+F609</f>
        <v>1</v>
      </c>
      <c r="H610" s="658"/>
      <c r="I610" s="658"/>
      <c r="J610" s="659"/>
    </row>
    <row r="611" spans="1:10" s="657" customFormat="1" ht="28.5" customHeight="1">
      <c r="A611" s="651"/>
      <c r="B611" s="652"/>
      <c r="C611" s="660" t="s">
        <v>607</v>
      </c>
      <c r="D611" s="661" t="s">
        <v>812</v>
      </c>
      <c r="E611" s="662" t="s">
        <v>163</v>
      </c>
      <c r="F611" s="663">
        <f>+F610</f>
        <v>1</v>
      </c>
      <c r="H611" s="666"/>
      <c r="I611" s="658"/>
      <c r="J611" s="659"/>
    </row>
    <row r="612" spans="1:10" s="657" customFormat="1" ht="28.5" customHeight="1">
      <c r="A612" s="651"/>
      <c r="B612" s="685"/>
      <c r="C612" s="660" t="s">
        <v>609</v>
      </c>
      <c r="D612" s="661" t="s">
        <v>813</v>
      </c>
      <c r="E612" s="662" t="s">
        <v>163</v>
      </c>
      <c r="F612" s="663">
        <f>+F611</f>
        <v>1</v>
      </c>
      <c r="H612" s="658"/>
      <c r="I612" s="658"/>
      <c r="J612" s="659"/>
    </row>
    <row r="613" spans="1:10" s="657" customFormat="1" ht="28.5" customHeight="1">
      <c r="A613" s="651"/>
      <c r="B613" s="652"/>
      <c r="C613" s="687" t="s">
        <v>610</v>
      </c>
      <c r="D613" s="688" t="s">
        <v>885</v>
      </c>
      <c r="E613" s="689" t="s">
        <v>156</v>
      </c>
      <c r="F613" s="690"/>
      <c r="H613" s="658"/>
      <c r="I613" s="658"/>
      <c r="J613" s="659"/>
    </row>
    <row r="614" spans="1:10" s="657" customFormat="1" ht="28.5" customHeight="1">
      <c r="A614" s="651"/>
      <c r="B614" s="652"/>
      <c r="C614" s="660" t="s">
        <v>612</v>
      </c>
      <c r="D614" s="661" t="s">
        <v>620</v>
      </c>
      <c r="E614" s="662" t="s">
        <v>163</v>
      </c>
      <c r="F614" s="663">
        <f>+'Líneas de Impulsión'!U48</f>
        <v>1</v>
      </c>
      <c r="H614" s="658"/>
      <c r="I614" s="658"/>
      <c r="J614" s="659"/>
    </row>
    <row r="615" spans="1:10" s="657" customFormat="1" ht="28.5" customHeight="1">
      <c r="A615" s="651"/>
      <c r="B615" s="652"/>
      <c r="C615" s="660" t="s">
        <v>614</v>
      </c>
      <c r="D615" s="661" t="s">
        <v>803</v>
      </c>
      <c r="E615" s="662" t="s">
        <v>163</v>
      </c>
      <c r="F615" s="663">
        <f t="shared" ref="F615:F617" si="6">+F614</f>
        <v>1</v>
      </c>
      <c r="H615" s="658"/>
      <c r="I615" s="658"/>
      <c r="J615" s="659"/>
    </row>
    <row r="616" spans="1:10" s="657" customFormat="1" ht="28.5" customHeight="1">
      <c r="A616" s="651"/>
      <c r="B616" s="652"/>
      <c r="C616" s="660" t="s">
        <v>615</v>
      </c>
      <c r="D616" s="661" t="s">
        <v>812</v>
      </c>
      <c r="E616" s="662" t="s">
        <v>163</v>
      </c>
      <c r="F616" s="663">
        <f t="shared" si="6"/>
        <v>1</v>
      </c>
      <c r="H616" s="658"/>
      <c r="I616" s="658"/>
      <c r="J616" s="659"/>
    </row>
    <row r="617" spans="1:10" s="657" customFormat="1" ht="28.5" customHeight="1">
      <c r="A617" s="651"/>
      <c r="B617" s="685"/>
      <c r="C617" s="660" t="s">
        <v>616</v>
      </c>
      <c r="D617" s="661" t="s">
        <v>813</v>
      </c>
      <c r="E617" s="662" t="s">
        <v>163</v>
      </c>
      <c r="F617" s="663">
        <f t="shared" si="6"/>
        <v>1</v>
      </c>
      <c r="H617" s="658"/>
      <c r="I617" s="658"/>
      <c r="J617" s="659"/>
    </row>
    <row r="618" spans="1:10" s="657" customFormat="1" ht="28.5" customHeight="1">
      <c r="A618" s="651"/>
      <c r="B618" s="652"/>
      <c r="C618" s="687" t="s">
        <v>617</v>
      </c>
      <c r="D618" s="688" t="s">
        <v>886</v>
      </c>
      <c r="E618" s="689" t="s">
        <v>156</v>
      </c>
      <c r="F618" s="690"/>
      <c r="H618" s="658"/>
      <c r="I618" s="658"/>
      <c r="J618" s="659"/>
    </row>
    <row r="619" spans="1:10" s="657" customFormat="1" ht="28.5" customHeight="1">
      <c r="A619" s="651"/>
      <c r="B619" s="652"/>
      <c r="C619" s="660" t="s">
        <v>619</v>
      </c>
      <c r="D619" s="661" t="s">
        <v>620</v>
      </c>
      <c r="E619" s="662" t="s">
        <v>163</v>
      </c>
      <c r="F619" s="663">
        <f>+'Líneas de Impulsión'!U49</f>
        <v>1</v>
      </c>
      <c r="H619" s="658"/>
      <c r="I619" s="658"/>
      <c r="J619" s="659"/>
    </row>
    <row r="620" spans="1:10" s="657" customFormat="1" ht="28.5" customHeight="1">
      <c r="A620" s="651"/>
      <c r="B620" s="652"/>
      <c r="C620" s="660" t="s">
        <v>621</v>
      </c>
      <c r="D620" s="661" t="s">
        <v>803</v>
      </c>
      <c r="E620" s="662" t="s">
        <v>163</v>
      </c>
      <c r="F620" s="663">
        <f t="shared" ref="F620:F622" si="7">+F619</f>
        <v>1</v>
      </c>
      <c r="H620" s="658"/>
      <c r="I620" s="658"/>
      <c r="J620" s="659"/>
    </row>
    <row r="621" spans="1:10" s="657" customFormat="1" ht="28.5" customHeight="1">
      <c r="A621" s="651"/>
      <c r="B621" s="652"/>
      <c r="C621" s="660" t="s">
        <v>623</v>
      </c>
      <c r="D621" s="661" t="s">
        <v>812</v>
      </c>
      <c r="E621" s="662" t="s">
        <v>163</v>
      </c>
      <c r="F621" s="663">
        <f t="shared" si="7"/>
        <v>1</v>
      </c>
      <c r="H621" s="658"/>
      <c r="I621" s="658"/>
      <c r="J621" s="659"/>
    </row>
    <row r="622" spans="1:10" s="657" customFormat="1" ht="28.5" customHeight="1">
      <c r="A622" s="651"/>
      <c r="B622" s="685"/>
      <c r="C622" s="660" t="s">
        <v>625</v>
      </c>
      <c r="D622" s="661" t="s">
        <v>813</v>
      </c>
      <c r="E622" s="662" t="s">
        <v>163</v>
      </c>
      <c r="F622" s="663">
        <f t="shared" si="7"/>
        <v>1</v>
      </c>
      <c r="H622" s="658"/>
      <c r="I622" s="658"/>
      <c r="J622" s="659"/>
    </row>
    <row r="623" spans="1:10" s="657" customFormat="1" ht="28.5" customHeight="1">
      <c r="A623" s="651"/>
      <c r="B623" s="652"/>
      <c r="C623" s="687" t="s">
        <v>627</v>
      </c>
      <c r="D623" s="688" t="s">
        <v>887</v>
      </c>
      <c r="E623" s="689" t="s">
        <v>156</v>
      </c>
      <c r="F623" s="690"/>
      <c r="H623" s="658"/>
      <c r="I623" s="658"/>
      <c r="J623" s="659"/>
    </row>
    <row r="624" spans="1:10" s="657" customFormat="1" ht="28.5" customHeight="1">
      <c r="A624" s="651"/>
      <c r="B624" s="652"/>
      <c r="C624" s="660" t="s">
        <v>629</v>
      </c>
      <c r="D624" s="661" t="s">
        <v>620</v>
      </c>
      <c r="E624" s="662" t="s">
        <v>163</v>
      </c>
      <c r="F624" s="663">
        <f>+'Líneas de Impulsión'!U50</f>
        <v>1</v>
      </c>
      <c r="H624" s="658"/>
      <c r="I624" s="658"/>
      <c r="J624" s="659"/>
    </row>
    <row r="625" spans="1:10" s="657" customFormat="1" ht="28.5" customHeight="1">
      <c r="A625" s="651"/>
      <c r="B625" s="652"/>
      <c r="C625" s="660" t="s">
        <v>631</v>
      </c>
      <c r="D625" s="661" t="s">
        <v>803</v>
      </c>
      <c r="E625" s="662" t="s">
        <v>163</v>
      </c>
      <c r="F625" s="663">
        <f t="shared" ref="F625:F627" si="8">+F624</f>
        <v>1</v>
      </c>
      <c r="H625" s="658"/>
      <c r="I625" s="658"/>
      <c r="J625" s="659"/>
    </row>
    <row r="626" spans="1:10" s="657" customFormat="1" ht="28.5" customHeight="1">
      <c r="A626" s="651"/>
      <c r="B626" s="652"/>
      <c r="C626" s="660" t="s">
        <v>633</v>
      </c>
      <c r="D626" s="661" t="s">
        <v>812</v>
      </c>
      <c r="E626" s="662" t="s">
        <v>163</v>
      </c>
      <c r="F626" s="663">
        <f t="shared" si="8"/>
        <v>1</v>
      </c>
      <c r="H626" s="666"/>
      <c r="I626" s="658"/>
      <c r="J626" s="659"/>
    </row>
    <row r="627" spans="1:10" s="657" customFormat="1" ht="28.5" customHeight="1">
      <c r="A627" s="651"/>
      <c r="B627" s="665"/>
      <c r="C627" s="660" t="s">
        <v>635</v>
      </c>
      <c r="D627" s="661" t="s">
        <v>813</v>
      </c>
      <c r="E627" s="662" t="s">
        <v>163</v>
      </c>
      <c r="F627" s="663">
        <f t="shared" si="8"/>
        <v>1</v>
      </c>
      <c r="H627" s="658"/>
      <c r="I627" s="658"/>
      <c r="J627" s="659"/>
    </row>
    <row r="628" spans="1:10" s="657" customFormat="1" ht="28.5" customHeight="1">
      <c r="A628" s="651"/>
      <c r="B628" s="652"/>
      <c r="C628" s="687" t="s">
        <v>637</v>
      </c>
      <c r="D628" s="688" t="s">
        <v>888</v>
      </c>
      <c r="E628" s="689" t="s">
        <v>156</v>
      </c>
      <c r="F628" s="690"/>
      <c r="H628" s="658"/>
      <c r="I628" s="658"/>
      <c r="J628" s="659"/>
    </row>
    <row r="629" spans="1:10" s="657" customFormat="1" ht="28.5" customHeight="1">
      <c r="A629" s="651"/>
      <c r="B629" s="652"/>
      <c r="C629" s="660" t="s">
        <v>639</v>
      </c>
      <c r="D629" s="661" t="s">
        <v>630</v>
      </c>
      <c r="E629" s="662" t="s">
        <v>163</v>
      </c>
      <c r="F629" s="663">
        <f>+'Líneas de Impulsión'!U51</f>
        <v>1</v>
      </c>
      <c r="H629" s="658"/>
      <c r="I629" s="658"/>
      <c r="J629" s="659"/>
    </row>
    <row r="630" spans="1:10" s="657" customFormat="1" ht="28.5" customHeight="1">
      <c r="A630" s="651"/>
      <c r="B630" s="652"/>
      <c r="C630" s="660" t="s">
        <v>641</v>
      </c>
      <c r="D630" s="661" t="s">
        <v>816</v>
      </c>
      <c r="E630" s="662" t="s">
        <v>163</v>
      </c>
      <c r="F630" s="663">
        <f t="shared" ref="F630:F632" si="9">+F629</f>
        <v>1</v>
      </c>
      <c r="H630" s="698"/>
      <c r="I630" s="658"/>
      <c r="J630" s="659"/>
    </row>
    <row r="631" spans="1:10" s="657" customFormat="1" ht="28.5" customHeight="1">
      <c r="A631" s="651"/>
      <c r="B631" s="652"/>
      <c r="C631" s="660" t="s">
        <v>642</v>
      </c>
      <c r="D631" s="661" t="s">
        <v>817</v>
      </c>
      <c r="E631" s="662" t="s">
        <v>163</v>
      </c>
      <c r="F631" s="663">
        <f t="shared" si="9"/>
        <v>1</v>
      </c>
      <c r="H631" s="699"/>
      <c r="I631" s="658"/>
      <c r="J631" s="659"/>
    </row>
    <row r="632" spans="1:10" s="657" customFormat="1" ht="28.5" customHeight="1">
      <c r="A632" s="651"/>
      <c r="B632" s="652"/>
      <c r="C632" s="660" t="s">
        <v>643</v>
      </c>
      <c r="D632" s="661" t="s">
        <v>818</v>
      </c>
      <c r="E632" s="662" t="s">
        <v>163</v>
      </c>
      <c r="F632" s="663">
        <f t="shared" si="9"/>
        <v>1</v>
      </c>
      <c r="H632" s="658"/>
      <c r="I632" s="658"/>
      <c r="J632" s="659"/>
    </row>
    <row r="633" spans="1:10" s="657" customFormat="1" ht="28.5" customHeight="1">
      <c r="A633" s="651"/>
      <c r="B633" s="665"/>
      <c r="C633" s="668" t="s">
        <v>644</v>
      </c>
      <c r="D633" s="669" t="s">
        <v>645</v>
      </c>
      <c r="E633" s="670" t="s">
        <v>156</v>
      </c>
      <c r="F633" s="671"/>
      <c r="H633" s="658"/>
      <c r="I633" s="658"/>
      <c r="J633" s="659"/>
    </row>
    <row r="634" spans="1:10" s="657" customFormat="1" ht="28.5" customHeight="1">
      <c r="A634" s="651"/>
      <c r="B634" s="652"/>
      <c r="C634" s="660" t="s">
        <v>646</v>
      </c>
      <c r="D634" s="661" t="s">
        <v>647</v>
      </c>
      <c r="E634" s="662" t="s">
        <v>133</v>
      </c>
      <c r="F634" s="663">
        <f>+'Líneas de Impulsión'!P42</f>
        <v>679.40000000000009</v>
      </c>
      <c r="H634" s="658"/>
      <c r="I634" s="658"/>
      <c r="J634" s="659"/>
    </row>
    <row r="635" spans="1:10" s="657" customFormat="1" ht="28.5" customHeight="1">
      <c r="A635" s="651"/>
      <c r="B635" s="652"/>
      <c r="C635" s="660" t="s">
        <v>648</v>
      </c>
      <c r="D635" s="661" t="s">
        <v>649</v>
      </c>
      <c r="E635" s="662" t="s">
        <v>163</v>
      </c>
      <c r="F635" s="663">
        <f>+'Líneas de Impulsión'!P48</f>
        <v>1</v>
      </c>
      <c r="H635" s="658"/>
      <c r="I635" s="658"/>
      <c r="J635" s="659"/>
    </row>
    <row r="636" spans="1:10" ht="28.5" customHeight="1">
      <c r="B636" s="583"/>
      <c r="C636" s="502" t="s">
        <v>650</v>
      </c>
      <c r="D636" s="515" t="s">
        <v>652</v>
      </c>
      <c r="E636" s="503" t="s">
        <v>161</v>
      </c>
      <c r="F636" s="596">
        <f>+'Líneas de Impulsión'!P51</f>
        <v>24</v>
      </c>
      <c r="H636" s="360"/>
      <c r="I636" s="360"/>
      <c r="J636" s="379"/>
    </row>
    <row r="637" spans="1:10" ht="28.5" customHeight="1">
      <c r="B637" s="583"/>
      <c r="C637" s="502" t="s">
        <v>651</v>
      </c>
      <c r="D637" s="515" t="s">
        <v>851</v>
      </c>
      <c r="E637" s="503" t="s">
        <v>133</v>
      </c>
      <c r="F637" s="596">
        <f>+'Líneas de Impulsión'!P59</f>
        <v>4</v>
      </c>
      <c r="H637" s="360"/>
      <c r="I637" s="360"/>
      <c r="J637" s="379"/>
    </row>
    <row r="638" spans="1:10" ht="28.5" customHeight="1">
      <c r="B638" s="583"/>
      <c r="C638" s="502" t="s">
        <v>653</v>
      </c>
      <c r="D638" s="515" t="s">
        <v>257</v>
      </c>
      <c r="E638" s="503" t="s">
        <v>133</v>
      </c>
      <c r="F638" s="596">
        <f>+'Líneas de Impulsión'!P62</f>
        <v>10</v>
      </c>
      <c r="H638" s="360"/>
      <c r="I638" s="360"/>
      <c r="J638" s="379"/>
    </row>
    <row r="639" spans="1:10" ht="28.5" customHeight="1">
      <c r="B639" s="583"/>
      <c r="C639" s="504" t="s">
        <v>666</v>
      </c>
      <c r="D639" s="521" t="s">
        <v>889</v>
      </c>
      <c r="E639" s="505" t="s">
        <v>156</v>
      </c>
      <c r="F639" s="597"/>
      <c r="H639" s="359"/>
      <c r="I639" s="360"/>
      <c r="J639" s="379"/>
    </row>
    <row r="640" spans="1:10" ht="28.5" customHeight="1">
      <c r="B640" s="583"/>
      <c r="C640" s="502" t="s">
        <v>667</v>
      </c>
      <c r="D640" s="515" t="s">
        <v>890</v>
      </c>
      <c r="E640" s="503" t="s">
        <v>133</v>
      </c>
      <c r="F640" s="596">
        <f>+Mejoramientos!K273</f>
        <v>12.75</v>
      </c>
      <c r="H640" s="361"/>
      <c r="I640" s="360"/>
      <c r="J640" s="379"/>
    </row>
    <row r="641" spans="2:10" ht="28.5" customHeight="1">
      <c r="B641" s="583"/>
      <c r="C641" s="502" t="s">
        <v>669</v>
      </c>
      <c r="D641" s="515" t="s">
        <v>891</v>
      </c>
      <c r="E641" s="503" t="s">
        <v>133</v>
      </c>
      <c r="F641" s="596">
        <f>+Mejoramientos!K274</f>
        <v>12.75</v>
      </c>
      <c r="H641" s="360"/>
      <c r="I641" s="360"/>
      <c r="J641" s="379"/>
    </row>
    <row r="642" spans="2:10" ht="28.5" customHeight="1">
      <c r="B642" s="583"/>
      <c r="C642" s="502" t="s">
        <v>671</v>
      </c>
      <c r="D642" s="515" t="s">
        <v>892</v>
      </c>
      <c r="E642" s="503" t="s">
        <v>245</v>
      </c>
      <c r="F642" s="596">
        <f>+Mejoramientos!K275</f>
        <v>26.675999999999995</v>
      </c>
      <c r="H642" s="360"/>
      <c r="I642" s="360"/>
      <c r="J642" s="379"/>
    </row>
    <row r="643" spans="2:10" ht="28.5" customHeight="1">
      <c r="B643" s="583"/>
      <c r="C643" s="502" t="s">
        <v>673</v>
      </c>
      <c r="D643" s="515" t="s">
        <v>893</v>
      </c>
      <c r="E643" s="503" t="s">
        <v>133</v>
      </c>
      <c r="F643" s="596">
        <f>+Mejoramientos!K280</f>
        <v>13.4</v>
      </c>
      <c r="H643" s="360"/>
      <c r="I643" s="360"/>
      <c r="J643" s="379"/>
    </row>
    <row r="644" spans="2:10" ht="28.5" customHeight="1">
      <c r="B644" s="583"/>
      <c r="C644" s="502" t="s">
        <v>894</v>
      </c>
      <c r="D644" s="515" t="s">
        <v>895</v>
      </c>
      <c r="E644" s="503" t="s">
        <v>245</v>
      </c>
      <c r="F644" s="596">
        <f>+Mejoramientos!K285</f>
        <v>11.57</v>
      </c>
      <c r="H644" s="360"/>
      <c r="I644" s="360"/>
      <c r="J644" s="379"/>
    </row>
    <row r="645" spans="2:10" ht="28.5" customHeight="1">
      <c r="B645" s="583"/>
      <c r="C645" s="502" t="s">
        <v>896</v>
      </c>
      <c r="D645" s="515" t="s">
        <v>897</v>
      </c>
      <c r="E645" s="503" t="s">
        <v>245</v>
      </c>
      <c r="F645" s="596">
        <f>+Mejoramientos!K290</f>
        <v>15.105999999999995</v>
      </c>
      <c r="H645" s="360"/>
      <c r="I645" s="360"/>
      <c r="J645" s="379"/>
    </row>
    <row r="646" spans="2:10" ht="28.5" customHeight="1">
      <c r="B646" s="583"/>
      <c r="C646" s="502" t="s">
        <v>898</v>
      </c>
      <c r="D646" s="515" t="s">
        <v>899</v>
      </c>
      <c r="E646" s="503" t="s">
        <v>245</v>
      </c>
      <c r="F646" s="596">
        <f>+Mejoramientos!K294</f>
        <v>1.34</v>
      </c>
      <c r="H646" s="360"/>
      <c r="I646" s="360"/>
      <c r="J646" s="379"/>
    </row>
    <row r="647" spans="2:10" ht="28.5" customHeight="1">
      <c r="B647" s="583"/>
      <c r="C647" s="502" t="s">
        <v>900</v>
      </c>
      <c r="D647" s="515" t="s">
        <v>901</v>
      </c>
      <c r="E647" s="503" t="s">
        <v>245</v>
      </c>
      <c r="F647" s="596">
        <f>+Mejoramientos!K299</f>
        <v>13.4</v>
      </c>
      <c r="H647" s="360"/>
      <c r="I647" s="360"/>
      <c r="J647" s="379"/>
    </row>
    <row r="648" spans="2:10" ht="28.5" customHeight="1">
      <c r="B648" s="584"/>
      <c r="C648" s="502" t="s">
        <v>902</v>
      </c>
      <c r="D648" s="515" t="s">
        <v>903</v>
      </c>
      <c r="E648" s="503" t="s">
        <v>133</v>
      </c>
      <c r="F648" s="596">
        <f>+Mejoramientos!K304</f>
        <v>35.6</v>
      </c>
      <c r="H648" s="360"/>
      <c r="I648" s="360"/>
      <c r="J648" s="379"/>
    </row>
    <row r="649" spans="2:10" ht="28.5" customHeight="1">
      <c r="B649" s="583"/>
      <c r="C649" s="502" t="s">
        <v>904</v>
      </c>
      <c r="D649" s="515" t="s">
        <v>905</v>
      </c>
      <c r="E649" s="503" t="s">
        <v>906</v>
      </c>
      <c r="F649" s="596">
        <f>+Mejoramientos!K309</f>
        <v>92.736000000000018</v>
      </c>
      <c r="H649" s="360"/>
      <c r="I649" s="360"/>
      <c r="J649" s="379"/>
    </row>
    <row r="650" spans="2:10" ht="28.5" customHeight="1">
      <c r="B650" s="583"/>
      <c r="C650" s="502" t="s">
        <v>907</v>
      </c>
      <c r="D650" s="515" t="s">
        <v>908</v>
      </c>
      <c r="E650" s="503" t="s">
        <v>245</v>
      </c>
      <c r="F650" s="596">
        <f>+Mejoramientos!K314</f>
        <v>17.38</v>
      </c>
      <c r="H650" s="360"/>
      <c r="I650" s="360"/>
      <c r="J650" s="379"/>
    </row>
    <row r="651" spans="2:10" ht="28.5" customHeight="1">
      <c r="B651" s="583"/>
      <c r="C651" s="502" t="s">
        <v>909</v>
      </c>
      <c r="D651" s="515" t="s">
        <v>910</v>
      </c>
      <c r="E651" s="503" t="s">
        <v>133</v>
      </c>
      <c r="F651" s="596">
        <f>+Mejoramientos!K319</f>
        <v>144.16</v>
      </c>
      <c r="H651" s="360"/>
      <c r="I651" s="360"/>
      <c r="J651" s="379"/>
    </row>
    <row r="652" spans="2:10" ht="28.5" customHeight="1">
      <c r="B652" s="581"/>
      <c r="C652" s="502" t="s">
        <v>911</v>
      </c>
      <c r="D652" s="515" t="s">
        <v>912</v>
      </c>
      <c r="E652" s="503" t="s">
        <v>906</v>
      </c>
      <c r="F652" s="596">
        <f>+Mejoramientos!K324</f>
        <v>958.72000000000025</v>
      </c>
      <c r="H652" s="360"/>
      <c r="I652" s="360"/>
      <c r="J652" s="379"/>
    </row>
    <row r="653" spans="2:10" ht="28.5" customHeight="1">
      <c r="B653" s="582"/>
      <c r="C653" s="502" t="s">
        <v>913</v>
      </c>
      <c r="D653" s="515" t="s">
        <v>914</v>
      </c>
      <c r="E653" s="503" t="s">
        <v>245</v>
      </c>
      <c r="F653" s="596">
        <f>+Mejoramientos!K334</f>
        <v>94.86</v>
      </c>
      <c r="H653" s="360"/>
      <c r="I653" s="360"/>
      <c r="J653" s="379"/>
    </row>
    <row r="654" spans="2:10" ht="28.5" customHeight="1">
      <c r="B654" s="583"/>
      <c r="C654" s="504" t="s">
        <v>675</v>
      </c>
      <c r="D654" s="521" t="s">
        <v>676</v>
      </c>
      <c r="E654" s="505" t="s">
        <v>156</v>
      </c>
      <c r="F654" s="597"/>
      <c r="H654" s="361"/>
      <c r="I654" s="360"/>
      <c r="J654" s="379"/>
    </row>
    <row r="655" spans="2:10" ht="28.5" customHeight="1">
      <c r="B655" s="583"/>
      <c r="C655" s="502" t="s">
        <v>677</v>
      </c>
      <c r="D655" s="515" t="s">
        <v>915</v>
      </c>
      <c r="E655" s="503" t="s">
        <v>163</v>
      </c>
      <c r="F655" s="596">
        <f>+'Líneas de Impulsión'!U42</f>
        <v>1</v>
      </c>
      <c r="H655" s="360"/>
      <c r="I655" s="360"/>
      <c r="J655" s="379"/>
    </row>
    <row r="656" spans="2:10" ht="28.5" customHeight="1">
      <c r="B656" s="583"/>
      <c r="C656" s="502" t="s">
        <v>679</v>
      </c>
      <c r="D656" s="515" t="s">
        <v>916</v>
      </c>
      <c r="E656" s="503" t="s">
        <v>163</v>
      </c>
      <c r="F656" s="596">
        <f>+'Líneas de Impulsión'!U43</f>
        <v>1</v>
      </c>
      <c r="H656" s="360"/>
      <c r="I656" s="360"/>
      <c r="J656" s="379"/>
    </row>
    <row r="657" spans="2:10" ht="28.5" customHeight="1">
      <c r="B657" s="583"/>
      <c r="C657" s="502" t="s">
        <v>681</v>
      </c>
      <c r="D657" s="515" t="s">
        <v>917</v>
      </c>
      <c r="E657" s="503" t="s">
        <v>163</v>
      </c>
      <c r="F657" s="596">
        <f>+'Líneas de Impulsión'!U44</f>
        <v>1</v>
      </c>
      <c r="H657" s="360"/>
      <c r="I657" s="360"/>
      <c r="J657" s="379"/>
    </row>
    <row r="658" spans="2:10" ht="28.5" hidden="1" customHeight="1">
      <c r="B658" s="583"/>
      <c r="C658" s="607" t="s">
        <v>391</v>
      </c>
      <c r="D658" s="608" t="s">
        <v>918</v>
      </c>
      <c r="E658" s="511" t="s">
        <v>156</v>
      </c>
      <c r="F658" s="609"/>
      <c r="H658" s="360"/>
      <c r="I658" s="360"/>
      <c r="J658" s="379"/>
    </row>
    <row r="659" spans="2:10" ht="28.5" hidden="1" customHeight="1">
      <c r="B659" s="583"/>
      <c r="C659" s="500" t="s">
        <v>393</v>
      </c>
      <c r="D659" s="520" t="s">
        <v>1220</v>
      </c>
      <c r="E659" s="501" t="s">
        <v>156</v>
      </c>
      <c r="F659" s="595"/>
      <c r="H659" s="360"/>
      <c r="I659" s="360"/>
      <c r="J659" s="379"/>
    </row>
    <row r="660" spans="2:10" ht="28.5" hidden="1" customHeight="1">
      <c r="B660" s="582"/>
      <c r="C660" s="502" t="s">
        <v>394</v>
      </c>
      <c r="D660" s="515" t="s">
        <v>395</v>
      </c>
      <c r="E660" s="503" t="s">
        <v>163</v>
      </c>
      <c r="F660" s="596">
        <v>1</v>
      </c>
      <c r="H660" s="360"/>
      <c r="I660" s="360"/>
      <c r="J660" s="379"/>
    </row>
    <row r="661" spans="2:10" ht="28.5" hidden="1" customHeight="1">
      <c r="B661" s="584"/>
      <c r="C661" s="502" t="s">
        <v>396</v>
      </c>
      <c r="D661" s="515" t="s">
        <v>397</v>
      </c>
      <c r="E661" s="503" t="s">
        <v>163</v>
      </c>
      <c r="F661" s="596">
        <v>1</v>
      </c>
      <c r="H661" s="360"/>
      <c r="I661" s="360"/>
      <c r="J661" s="379"/>
    </row>
    <row r="662" spans="2:10" ht="28.5" hidden="1" customHeight="1">
      <c r="B662" s="583"/>
      <c r="C662" s="502" t="s">
        <v>398</v>
      </c>
      <c r="D662" s="515" t="s">
        <v>170</v>
      </c>
      <c r="E662" s="503" t="s">
        <v>163</v>
      </c>
      <c r="F662" s="596">
        <v>1</v>
      </c>
      <c r="H662" s="360"/>
      <c r="I662" s="360"/>
      <c r="J662" s="379"/>
    </row>
    <row r="663" spans="2:10" ht="28.5" hidden="1" customHeight="1">
      <c r="B663" s="583"/>
      <c r="C663" s="502" t="s">
        <v>399</v>
      </c>
      <c r="D663" s="515" t="s">
        <v>400</v>
      </c>
      <c r="E663" s="503" t="s">
        <v>402</v>
      </c>
      <c r="F663" s="596">
        <v>1</v>
      </c>
      <c r="H663" s="360"/>
      <c r="I663" s="360"/>
      <c r="J663" s="379"/>
    </row>
    <row r="664" spans="2:10" ht="28.5" hidden="1" customHeight="1">
      <c r="B664" s="583"/>
      <c r="C664" s="502" t="s">
        <v>401</v>
      </c>
      <c r="D664" s="515" t="s">
        <v>1294</v>
      </c>
      <c r="E664" s="503" t="s">
        <v>402</v>
      </c>
      <c r="F664" s="596">
        <v>1</v>
      </c>
      <c r="H664" s="360"/>
      <c r="I664" s="360"/>
      <c r="J664" s="379"/>
    </row>
    <row r="665" spans="2:10" ht="28.5" hidden="1" customHeight="1">
      <c r="B665" s="583"/>
      <c r="C665" s="500" t="s">
        <v>404</v>
      </c>
      <c r="D665" s="520" t="s">
        <v>1295</v>
      </c>
      <c r="E665" s="501" t="s">
        <v>156</v>
      </c>
      <c r="F665" s="595"/>
      <c r="H665" s="360"/>
      <c r="I665" s="360"/>
      <c r="J665" s="379"/>
    </row>
    <row r="666" spans="2:10" ht="28.5" hidden="1" customHeight="1">
      <c r="B666" s="583"/>
      <c r="C666" s="504" t="s">
        <v>405</v>
      </c>
      <c r="D666" s="521" t="s">
        <v>173</v>
      </c>
      <c r="E666" s="505" t="s">
        <v>156</v>
      </c>
      <c r="F666" s="597"/>
      <c r="H666" s="360"/>
      <c r="I666" s="360"/>
      <c r="J666" s="379"/>
    </row>
    <row r="667" spans="2:10" ht="28.5" hidden="1" customHeight="1">
      <c r="B667" s="583"/>
      <c r="C667" s="502" t="s">
        <v>406</v>
      </c>
      <c r="D667" s="515" t="s">
        <v>157</v>
      </c>
      <c r="E667" s="503" t="s">
        <v>158</v>
      </c>
      <c r="F667" s="596">
        <f>+F676/1000</f>
        <v>2.6111200000000001</v>
      </c>
      <c r="H667" s="360"/>
      <c r="I667" s="360"/>
      <c r="J667" s="379"/>
    </row>
    <row r="668" spans="2:10" ht="28.5" hidden="1" customHeight="1">
      <c r="B668" s="583"/>
      <c r="C668" s="502" t="s">
        <v>407</v>
      </c>
      <c r="D668" s="515" t="s">
        <v>159</v>
      </c>
      <c r="E668" s="503" t="s">
        <v>158</v>
      </c>
      <c r="F668" s="596">
        <f>+F676/1000</f>
        <v>2.6111200000000001</v>
      </c>
      <c r="H668" s="360"/>
      <c r="I668" s="360"/>
      <c r="J668" s="379"/>
    </row>
    <row r="669" spans="2:10" ht="28.5" hidden="1" customHeight="1">
      <c r="B669" s="583"/>
      <c r="C669" s="502" t="s">
        <v>408</v>
      </c>
      <c r="D669" s="587" t="s">
        <v>1223</v>
      </c>
      <c r="E669" s="503" t="s">
        <v>163</v>
      </c>
      <c r="F669" s="596">
        <v>30</v>
      </c>
      <c r="H669" s="360"/>
      <c r="I669" s="360"/>
      <c r="J669" s="379"/>
    </row>
    <row r="670" spans="2:10" ht="28.5" hidden="1" customHeight="1">
      <c r="B670" s="583"/>
      <c r="C670" s="502" t="s">
        <v>410</v>
      </c>
      <c r="D670" s="587" t="s">
        <v>1224</v>
      </c>
      <c r="E670" s="503" t="s">
        <v>163</v>
      </c>
      <c r="F670" s="596">
        <v>20</v>
      </c>
      <c r="H670" s="360"/>
      <c r="I670" s="360"/>
      <c r="J670" s="379"/>
    </row>
    <row r="671" spans="2:10" ht="28.5" hidden="1" customHeight="1">
      <c r="B671" s="583"/>
      <c r="C671" s="502" t="s">
        <v>411</v>
      </c>
      <c r="D671" s="587" t="s">
        <v>1225</v>
      </c>
      <c r="E671" s="503" t="s">
        <v>163</v>
      </c>
      <c r="F671" s="596">
        <v>10</v>
      </c>
      <c r="H671" s="360"/>
      <c r="I671" s="360"/>
      <c r="J671" s="379"/>
    </row>
    <row r="672" spans="2:10" ht="28.5" hidden="1" customHeight="1">
      <c r="B672" s="583"/>
      <c r="C672" s="502" t="s">
        <v>412</v>
      </c>
      <c r="D672" s="587" t="s">
        <v>1226</v>
      </c>
      <c r="E672" s="503" t="s">
        <v>163</v>
      </c>
      <c r="F672" s="596">
        <v>20</v>
      </c>
      <c r="H672" s="360"/>
      <c r="I672" s="360"/>
      <c r="J672" s="379"/>
    </row>
    <row r="673" spans="2:10" ht="28.5" hidden="1" customHeight="1">
      <c r="B673" s="583"/>
      <c r="C673" s="502" t="s">
        <v>413</v>
      </c>
      <c r="D673" s="587" t="s">
        <v>1227</v>
      </c>
      <c r="E673" s="503" t="s">
        <v>163</v>
      </c>
      <c r="F673" s="596">
        <v>8</v>
      </c>
      <c r="H673" s="360"/>
      <c r="I673" s="360"/>
      <c r="J673" s="379"/>
    </row>
    <row r="674" spans="2:10" ht="28.5" hidden="1" customHeight="1">
      <c r="B674" s="583"/>
      <c r="C674" s="502" t="s">
        <v>415</v>
      </c>
      <c r="D674" s="515" t="s">
        <v>409</v>
      </c>
      <c r="E674" s="503" t="s">
        <v>161</v>
      </c>
      <c r="F674" s="596">
        <f>+F675</f>
        <v>5222.24</v>
      </c>
      <c r="H674" s="360"/>
      <c r="I674" s="360"/>
      <c r="J674" s="379"/>
    </row>
    <row r="675" spans="2:10" ht="28.5" hidden="1" customHeight="1">
      <c r="B675" s="583"/>
      <c r="C675" s="502" t="s">
        <v>417</v>
      </c>
      <c r="D675" s="515" t="s">
        <v>162</v>
      </c>
      <c r="E675" s="503" t="s">
        <v>161</v>
      </c>
      <c r="F675" s="596">
        <f>+F676*2</f>
        <v>5222.24</v>
      </c>
      <c r="H675" s="360"/>
      <c r="I675" s="360"/>
      <c r="J675" s="379"/>
    </row>
    <row r="676" spans="2:10" ht="28.5" hidden="1" customHeight="1">
      <c r="B676" s="583"/>
      <c r="C676" s="502" t="s">
        <v>419</v>
      </c>
      <c r="D676" s="515" t="s">
        <v>160</v>
      </c>
      <c r="E676" s="503" t="s">
        <v>161</v>
      </c>
      <c r="F676" s="596">
        <f>+'F-5'!L25+'F-5'!L40</f>
        <v>2611.12</v>
      </c>
      <c r="H676" s="360"/>
      <c r="I676" s="360"/>
      <c r="J676" s="379"/>
    </row>
    <row r="677" spans="2:10" ht="28.5" hidden="1" customHeight="1">
      <c r="B677" s="583"/>
      <c r="C677" s="502" t="s">
        <v>421</v>
      </c>
      <c r="D677" s="515" t="s">
        <v>414</v>
      </c>
      <c r="E677" s="503" t="s">
        <v>163</v>
      </c>
      <c r="F677" s="596">
        <f>+Mejoramientos!K341</f>
        <v>10</v>
      </c>
      <c r="H677" s="360"/>
      <c r="I677" s="360"/>
      <c r="J677" s="379"/>
    </row>
    <row r="678" spans="2:10" ht="28.5" hidden="1" customHeight="1">
      <c r="B678" s="584"/>
      <c r="C678" s="502" t="s">
        <v>423</v>
      </c>
      <c r="D678" s="515" t="s">
        <v>416</v>
      </c>
      <c r="E678" s="503" t="s">
        <v>163</v>
      </c>
      <c r="F678" s="596">
        <f>+Mejoramientos!K342</f>
        <v>28</v>
      </c>
      <c r="H678" s="360"/>
      <c r="I678" s="360"/>
      <c r="J678" s="379"/>
    </row>
    <row r="679" spans="2:10" ht="28.5" hidden="1" customHeight="1">
      <c r="B679" s="583"/>
      <c r="C679" s="502" t="s">
        <v>425</v>
      </c>
      <c r="D679" s="515" t="s">
        <v>418</v>
      </c>
      <c r="E679" s="503" t="s">
        <v>163</v>
      </c>
      <c r="F679" s="596">
        <f>+Mejoramientos!K343</f>
        <v>2</v>
      </c>
      <c r="H679" s="360"/>
      <c r="I679" s="360"/>
      <c r="J679" s="379"/>
    </row>
    <row r="680" spans="2:10" ht="28.5" hidden="1" customHeight="1">
      <c r="B680" s="583"/>
      <c r="C680" s="502" t="s">
        <v>427</v>
      </c>
      <c r="D680" s="515" t="s">
        <v>420</v>
      </c>
      <c r="E680" s="503" t="s">
        <v>163</v>
      </c>
      <c r="F680" s="596">
        <f>+Mejoramientos!K344</f>
        <v>45</v>
      </c>
      <c r="H680" s="360"/>
      <c r="I680" s="360"/>
      <c r="J680" s="379"/>
    </row>
    <row r="681" spans="2:10" ht="28.5" hidden="1" customHeight="1">
      <c r="B681" s="583"/>
      <c r="C681" s="502" t="s">
        <v>1228</v>
      </c>
      <c r="D681" s="515" t="s">
        <v>422</v>
      </c>
      <c r="E681" s="503" t="s">
        <v>163</v>
      </c>
      <c r="F681" s="596">
        <f>+Mejoramientos!K345</f>
        <v>31</v>
      </c>
      <c r="H681" s="360"/>
      <c r="I681" s="360"/>
      <c r="J681" s="379"/>
    </row>
    <row r="682" spans="2:10" ht="28.5" hidden="1" customHeight="1">
      <c r="B682" s="583"/>
      <c r="C682" s="502" t="s">
        <v>1229</v>
      </c>
      <c r="D682" s="515" t="s">
        <v>426</v>
      </c>
      <c r="E682" s="503" t="s">
        <v>163</v>
      </c>
      <c r="F682" s="596">
        <f>+Mejoramientos!K346</f>
        <v>5</v>
      </c>
      <c r="H682" s="360"/>
      <c r="I682" s="360"/>
      <c r="J682" s="379"/>
    </row>
    <row r="683" spans="2:10" ht="28.5" hidden="1" customHeight="1">
      <c r="B683" s="583"/>
      <c r="C683" s="502" t="s">
        <v>1230</v>
      </c>
      <c r="D683" s="515" t="s">
        <v>424</v>
      </c>
      <c r="E683" s="503" t="s">
        <v>163</v>
      </c>
      <c r="F683" s="596">
        <f>+Mejoramientos!K347</f>
        <v>3</v>
      </c>
      <c r="H683" s="360"/>
      <c r="I683" s="360"/>
      <c r="J683" s="379"/>
    </row>
    <row r="684" spans="2:10" ht="28.5" hidden="1" customHeight="1">
      <c r="B684" s="583"/>
      <c r="C684" s="502" t="s">
        <v>1232</v>
      </c>
      <c r="D684" s="515" t="s">
        <v>428</v>
      </c>
      <c r="E684" s="503" t="s">
        <v>163</v>
      </c>
      <c r="F684" s="596">
        <f>+Mejoramientos!K348</f>
        <v>75</v>
      </c>
      <c r="H684" s="361"/>
      <c r="I684" s="360"/>
      <c r="J684" s="379"/>
    </row>
    <row r="685" spans="2:10" ht="28.5" hidden="1" customHeight="1">
      <c r="B685" s="583"/>
      <c r="C685" s="504" t="s">
        <v>429</v>
      </c>
      <c r="D685" s="521" t="s">
        <v>164</v>
      </c>
      <c r="E685" s="505" t="s">
        <v>156</v>
      </c>
      <c r="F685" s="597"/>
      <c r="H685" s="360"/>
      <c r="I685" s="360"/>
      <c r="J685" s="379"/>
    </row>
    <row r="686" spans="2:10" ht="28.5" hidden="1" customHeight="1">
      <c r="B686" s="583"/>
      <c r="C686" s="502" t="s">
        <v>430</v>
      </c>
      <c r="D686" s="515" t="s">
        <v>165</v>
      </c>
      <c r="E686" s="503" t="s">
        <v>161</v>
      </c>
      <c r="F686" s="596">
        <f>+'F-5'!AA40</f>
        <v>76.239999999999995</v>
      </c>
      <c r="H686" s="360"/>
      <c r="I686" s="360"/>
      <c r="J686" s="379"/>
    </row>
    <row r="687" spans="2:10" ht="28.5" hidden="1" customHeight="1">
      <c r="B687" s="583"/>
      <c r="C687" s="502" t="s">
        <v>432</v>
      </c>
      <c r="D687" s="515" t="s">
        <v>919</v>
      </c>
      <c r="E687" s="503" t="s">
        <v>161</v>
      </c>
      <c r="F687" s="596">
        <f>+'F-5'!AB40</f>
        <v>285.61</v>
      </c>
      <c r="H687" s="360"/>
      <c r="I687" s="360"/>
      <c r="J687" s="379"/>
    </row>
    <row r="688" spans="2:10" ht="28.5" hidden="1" customHeight="1">
      <c r="B688" s="583"/>
      <c r="C688" s="502" t="s">
        <v>433</v>
      </c>
      <c r="D688" s="515" t="s">
        <v>166</v>
      </c>
      <c r="E688" s="503" t="s">
        <v>161</v>
      </c>
      <c r="F688" s="596">
        <f>+'F-5'!AC40</f>
        <v>239.54000000000002</v>
      </c>
      <c r="H688" s="360"/>
      <c r="I688" s="360"/>
      <c r="J688" s="379"/>
    </row>
    <row r="689" spans="2:10" ht="28.5" hidden="1" customHeight="1">
      <c r="B689" s="583"/>
      <c r="C689" s="502" t="s">
        <v>434</v>
      </c>
      <c r="D689" s="515" t="s">
        <v>185</v>
      </c>
      <c r="E689" s="503" t="s">
        <v>161</v>
      </c>
      <c r="F689" s="596">
        <f>+'F-5'!AD40</f>
        <v>170.51</v>
      </c>
      <c r="H689" s="360"/>
      <c r="I689" s="360"/>
      <c r="J689" s="379"/>
    </row>
    <row r="690" spans="2:10" ht="28.5" hidden="1" customHeight="1">
      <c r="B690" s="583"/>
      <c r="C690" s="502" t="s">
        <v>436</v>
      </c>
      <c r="D690" s="515" t="s">
        <v>920</v>
      </c>
      <c r="E690" s="503" t="s">
        <v>161</v>
      </c>
      <c r="F690" s="596">
        <f>+'F-5'!AE40</f>
        <v>40.159999999999997</v>
      </c>
      <c r="H690" s="360"/>
      <c r="I690" s="360"/>
      <c r="J690" s="379"/>
    </row>
    <row r="691" spans="2:10" ht="28.5" hidden="1" customHeight="1">
      <c r="B691" s="583"/>
      <c r="C691" s="502" t="s">
        <v>438</v>
      </c>
      <c r="D691" s="515" t="s">
        <v>921</v>
      </c>
      <c r="E691" s="503" t="s">
        <v>161</v>
      </c>
      <c r="F691" s="596">
        <f>+'F-5'!AA25</f>
        <v>24.41</v>
      </c>
      <c r="H691" s="361"/>
      <c r="I691" s="360"/>
      <c r="J691" s="379"/>
    </row>
    <row r="692" spans="2:10" ht="28.5" hidden="1" customHeight="1">
      <c r="B692" s="583"/>
      <c r="C692" s="502" t="s">
        <v>440</v>
      </c>
      <c r="D692" s="515" t="s">
        <v>922</v>
      </c>
      <c r="E692" s="503" t="s">
        <v>161</v>
      </c>
      <c r="F692" s="596">
        <f>+'F-5'!AB25</f>
        <v>388.61</v>
      </c>
      <c r="H692" s="362"/>
      <c r="I692" s="360"/>
      <c r="J692" s="379"/>
    </row>
    <row r="693" spans="2:10" ht="28.5" hidden="1" customHeight="1">
      <c r="B693" s="583"/>
      <c r="C693" s="502" t="s">
        <v>442</v>
      </c>
      <c r="D693" s="515" t="s">
        <v>923</v>
      </c>
      <c r="E693" s="503" t="s">
        <v>161</v>
      </c>
      <c r="F693" s="596">
        <f>+'F-5'!AC25</f>
        <v>530.61</v>
      </c>
      <c r="H693" s="360"/>
      <c r="I693" s="360"/>
      <c r="J693" s="379"/>
    </row>
    <row r="694" spans="2:10" ht="28.5" hidden="1" customHeight="1">
      <c r="B694" s="583"/>
      <c r="C694" s="502" t="s">
        <v>444</v>
      </c>
      <c r="D694" s="515" t="s">
        <v>924</v>
      </c>
      <c r="E694" s="503" t="s">
        <v>161</v>
      </c>
      <c r="F694" s="596">
        <f>+'F-5'!AD25</f>
        <v>606.27</v>
      </c>
      <c r="H694" s="360"/>
      <c r="I694" s="360"/>
      <c r="J694" s="379"/>
    </row>
    <row r="695" spans="2:10" ht="28.5" hidden="1" customHeight="1">
      <c r="B695" s="583"/>
      <c r="C695" s="502" t="s">
        <v>446</v>
      </c>
      <c r="D695" s="515" t="s">
        <v>190</v>
      </c>
      <c r="E695" s="503" t="s">
        <v>161</v>
      </c>
      <c r="F695" s="596">
        <f>+'F-5'!AS40</f>
        <v>226.12</v>
      </c>
      <c r="H695" s="360"/>
      <c r="I695" s="360"/>
      <c r="J695" s="379"/>
    </row>
    <row r="696" spans="2:10" ht="28.5" hidden="1" customHeight="1">
      <c r="B696" s="583"/>
      <c r="C696" s="502" t="s">
        <v>448</v>
      </c>
      <c r="D696" s="515" t="s">
        <v>186</v>
      </c>
      <c r="E696" s="503" t="s">
        <v>161</v>
      </c>
      <c r="F696" s="596">
        <f>+'F-5'!AU40</f>
        <v>20.5</v>
      </c>
      <c r="H696" s="360"/>
      <c r="I696" s="360"/>
      <c r="J696" s="379"/>
    </row>
    <row r="697" spans="2:10" ht="28.5" hidden="1" customHeight="1">
      <c r="B697" s="583"/>
      <c r="C697" s="502" t="s">
        <v>450</v>
      </c>
      <c r="D697" s="515" t="s">
        <v>925</v>
      </c>
      <c r="E697" s="503" t="s">
        <v>161</v>
      </c>
      <c r="F697" s="596">
        <f>+'F-5'!AX40</f>
        <v>2.54</v>
      </c>
      <c r="H697" s="360"/>
      <c r="I697" s="360"/>
      <c r="J697" s="379"/>
    </row>
    <row r="698" spans="2:10" ht="28.5" hidden="1" customHeight="1">
      <c r="B698" s="583"/>
      <c r="C698" s="502" t="s">
        <v>452</v>
      </c>
      <c r="D698" s="515" t="s">
        <v>167</v>
      </c>
      <c r="E698" s="503" t="s">
        <v>161</v>
      </c>
      <c r="F698" s="596">
        <f>SUM(F686:F690)</f>
        <v>812.06000000000006</v>
      </c>
      <c r="H698" s="360"/>
      <c r="I698" s="360"/>
      <c r="J698" s="379"/>
    </row>
    <row r="699" spans="2:10" ht="28.5" hidden="1" customHeight="1">
      <c r="B699" s="583"/>
      <c r="C699" s="502" t="s">
        <v>454</v>
      </c>
      <c r="D699" s="515" t="s">
        <v>447</v>
      </c>
      <c r="E699" s="503" t="s">
        <v>161</v>
      </c>
      <c r="F699" s="596">
        <f>SUM(F691:F694)</f>
        <v>1549.9</v>
      </c>
      <c r="H699" s="360"/>
      <c r="I699" s="360"/>
      <c r="J699" s="379"/>
    </row>
    <row r="700" spans="2:10" ht="28.5" hidden="1" customHeight="1">
      <c r="B700" s="583"/>
      <c r="C700" s="502" t="s">
        <v>456</v>
      </c>
      <c r="D700" s="515" t="s">
        <v>187</v>
      </c>
      <c r="E700" s="503" t="s">
        <v>161</v>
      </c>
      <c r="F700" s="596">
        <f>SUM(F695:F697)</f>
        <v>249.16</v>
      </c>
      <c r="H700" s="360"/>
      <c r="I700" s="360"/>
      <c r="J700" s="379"/>
    </row>
    <row r="701" spans="2:10" ht="28.5" hidden="1" customHeight="1">
      <c r="B701" s="583"/>
      <c r="C701" s="502" t="s">
        <v>458</v>
      </c>
      <c r="D701" s="515" t="s">
        <v>926</v>
      </c>
      <c r="E701" s="503" t="s">
        <v>161</v>
      </c>
      <c r="F701" s="596">
        <f>+F686</f>
        <v>76.239999999999995</v>
      </c>
      <c r="H701" s="360"/>
      <c r="I701" s="360"/>
      <c r="J701" s="379"/>
    </row>
    <row r="702" spans="2:10" ht="28.5" hidden="1" customHeight="1">
      <c r="B702" s="583"/>
      <c r="C702" s="502" t="s">
        <v>460</v>
      </c>
      <c r="D702" s="515" t="s">
        <v>927</v>
      </c>
      <c r="E702" s="503" t="s">
        <v>161</v>
      </c>
      <c r="F702" s="596">
        <f t="shared" ref="F702:F704" si="10">+F687</f>
        <v>285.61</v>
      </c>
      <c r="H702" s="360"/>
      <c r="I702" s="360"/>
      <c r="J702" s="379"/>
    </row>
    <row r="703" spans="2:10" ht="28.5" hidden="1" customHeight="1">
      <c r="B703" s="583"/>
      <c r="C703" s="502" t="s">
        <v>462</v>
      </c>
      <c r="D703" s="515" t="s">
        <v>928</v>
      </c>
      <c r="E703" s="503" t="s">
        <v>161</v>
      </c>
      <c r="F703" s="596">
        <f t="shared" si="10"/>
        <v>239.54000000000002</v>
      </c>
      <c r="H703" s="360"/>
      <c r="I703" s="360"/>
      <c r="J703" s="379"/>
    </row>
    <row r="704" spans="2:10" ht="28.5" hidden="1" customHeight="1">
      <c r="B704" s="583"/>
      <c r="C704" s="502" t="s">
        <v>464</v>
      </c>
      <c r="D704" s="515" t="s">
        <v>929</v>
      </c>
      <c r="E704" s="503" t="s">
        <v>161</v>
      </c>
      <c r="F704" s="596">
        <f t="shared" si="10"/>
        <v>170.51</v>
      </c>
      <c r="H704" s="360"/>
      <c r="I704" s="360"/>
      <c r="J704" s="379"/>
    </row>
    <row r="705" spans="2:10" ht="28.5" hidden="1" customHeight="1">
      <c r="B705" s="583"/>
      <c r="C705" s="502" t="s">
        <v>466</v>
      </c>
      <c r="D705" s="515" t="s">
        <v>930</v>
      </c>
      <c r="E705" s="503" t="s">
        <v>161</v>
      </c>
      <c r="F705" s="596">
        <f>+F691</f>
        <v>24.41</v>
      </c>
      <c r="H705" s="360"/>
      <c r="I705" s="360"/>
      <c r="J705" s="379"/>
    </row>
    <row r="706" spans="2:10" ht="28.5" hidden="1" customHeight="1">
      <c r="B706" s="583"/>
      <c r="C706" s="502" t="s">
        <v>468</v>
      </c>
      <c r="D706" s="515" t="s">
        <v>931</v>
      </c>
      <c r="E706" s="503" t="s">
        <v>161</v>
      </c>
      <c r="F706" s="596">
        <f t="shared" ref="F706:F713" si="11">+F692</f>
        <v>388.61</v>
      </c>
      <c r="H706" s="360"/>
      <c r="I706" s="360"/>
      <c r="J706" s="379"/>
    </row>
    <row r="707" spans="2:10" ht="28.5" hidden="1" customHeight="1">
      <c r="B707" s="583"/>
      <c r="C707" s="502" t="s">
        <v>470</v>
      </c>
      <c r="D707" s="515" t="s">
        <v>932</v>
      </c>
      <c r="E707" s="503" t="s">
        <v>161</v>
      </c>
      <c r="F707" s="596">
        <f t="shared" si="11"/>
        <v>530.61</v>
      </c>
      <c r="H707" s="360"/>
      <c r="I707" s="360"/>
      <c r="J707" s="379"/>
    </row>
    <row r="708" spans="2:10" ht="28.5" hidden="1" customHeight="1">
      <c r="B708" s="583"/>
      <c r="C708" s="502" t="s">
        <v>472</v>
      </c>
      <c r="D708" s="515" t="s">
        <v>453</v>
      </c>
      <c r="E708" s="503" t="s">
        <v>161</v>
      </c>
      <c r="F708" s="596">
        <f t="shared" si="11"/>
        <v>606.27</v>
      </c>
      <c r="H708" s="360"/>
      <c r="I708" s="360"/>
      <c r="J708" s="379"/>
    </row>
    <row r="709" spans="2:10" ht="28.5" hidden="1" customHeight="1">
      <c r="B709" s="583"/>
      <c r="C709" s="502" t="s">
        <v>474</v>
      </c>
      <c r="D709" s="515" t="s">
        <v>192</v>
      </c>
      <c r="E709" s="503" t="s">
        <v>161</v>
      </c>
      <c r="F709" s="596">
        <f t="shared" si="11"/>
        <v>226.12</v>
      </c>
      <c r="H709" s="360"/>
      <c r="I709" s="360"/>
      <c r="J709" s="379"/>
    </row>
    <row r="710" spans="2:10" ht="28.5" hidden="1" customHeight="1">
      <c r="B710" s="584"/>
      <c r="C710" s="502" t="s">
        <v>476</v>
      </c>
      <c r="D710" s="515" t="s">
        <v>188</v>
      </c>
      <c r="E710" s="503" t="s">
        <v>161</v>
      </c>
      <c r="F710" s="596">
        <f t="shared" si="11"/>
        <v>20.5</v>
      </c>
      <c r="H710" s="362"/>
      <c r="I710" s="360"/>
      <c r="J710" s="379"/>
    </row>
    <row r="711" spans="2:10" ht="28.5" hidden="1" customHeight="1">
      <c r="B711" s="583"/>
      <c r="C711" s="502" t="s">
        <v>478</v>
      </c>
      <c r="D711" s="515" t="s">
        <v>933</v>
      </c>
      <c r="E711" s="503" t="s">
        <v>161</v>
      </c>
      <c r="F711" s="596">
        <f t="shared" si="11"/>
        <v>2.54</v>
      </c>
      <c r="H711" s="360"/>
      <c r="I711" s="360"/>
      <c r="J711" s="379"/>
    </row>
    <row r="712" spans="2:10" ht="28.5" hidden="1" customHeight="1">
      <c r="B712" s="583"/>
      <c r="C712" s="502" t="s">
        <v>480</v>
      </c>
      <c r="D712" s="515" t="s">
        <v>168</v>
      </c>
      <c r="E712" s="503" t="s">
        <v>161</v>
      </c>
      <c r="F712" s="596">
        <f>+F698</f>
        <v>812.06000000000006</v>
      </c>
      <c r="H712" s="360"/>
      <c r="I712" s="360"/>
      <c r="J712" s="379"/>
    </row>
    <row r="713" spans="2:10" ht="28.5" hidden="1" customHeight="1">
      <c r="B713" s="583"/>
      <c r="C713" s="502" t="s">
        <v>482</v>
      </c>
      <c r="D713" s="515" t="s">
        <v>471</v>
      </c>
      <c r="E713" s="503" t="s">
        <v>161</v>
      </c>
      <c r="F713" s="596">
        <f t="shared" si="11"/>
        <v>1549.9</v>
      </c>
      <c r="H713" s="360"/>
      <c r="I713" s="360"/>
      <c r="J713" s="379"/>
    </row>
    <row r="714" spans="2:10" ht="28.5" hidden="1" customHeight="1">
      <c r="B714" s="583"/>
      <c r="C714" s="502" t="s">
        <v>484</v>
      </c>
      <c r="D714" s="515" t="s">
        <v>195</v>
      </c>
      <c r="E714" s="503" t="s">
        <v>161</v>
      </c>
      <c r="F714" s="596">
        <f>+F709</f>
        <v>226.12</v>
      </c>
      <c r="H714" s="360"/>
      <c r="I714" s="360"/>
      <c r="J714" s="379"/>
    </row>
    <row r="715" spans="2:10" ht="28.5" hidden="1" customHeight="1">
      <c r="B715" s="583"/>
      <c r="C715" s="502" t="s">
        <v>486</v>
      </c>
      <c r="D715" s="515" t="s">
        <v>189</v>
      </c>
      <c r="E715" s="503" t="s">
        <v>161</v>
      </c>
      <c r="F715" s="596">
        <f t="shared" ref="F715:F716" si="12">+F710</f>
        <v>20.5</v>
      </c>
      <c r="H715" s="360"/>
      <c r="I715" s="360"/>
      <c r="J715" s="379"/>
    </row>
    <row r="716" spans="2:10" ht="28.5" hidden="1" customHeight="1">
      <c r="B716" s="583"/>
      <c r="C716" s="502" t="s">
        <v>763</v>
      </c>
      <c r="D716" s="515" t="s">
        <v>934</v>
      </c>
      <c r="E716" s="503" t="s">
        <v>161</v>
      </c>
      <c r="F716" s="596">
        <f t="shared" si="12"/>
        <v>2.54</v>
      </c>
      <c r="H716" s="360"/>
      <c r="I716" s="360"/>
      <c r="J716" s="379"/>
    </row>
    <row r="717" spans="2:10" ht="28.5" hidden="1" customHeight="1">
      <c r="B717" s="584"/>
      <c r="C717" s="504" t="s">
        <v>488</v>
      </c>
      <c r="D717" s="521" t="s">
        <v>489</v>
      </c>
      <c r="E717" s="505" t="s">
        <v>156</v>
      </c>
      <c r="F717" s="597"/>
      <c r="H717" s="361"/>
      <c r="I717" s="360"/>
      <c r="J717" s="379"/>
    </row>
    <row r="718" spans="2:10" ht="28.5" hidden="1" customHeight="1">
      <c r="B718" s="585"/>
      <c r="C718" s="502" t="s">
        <v>490</v>
      </c>
      <c r="D718" s="515" t="s">
        <v>1296</v>
      </c>
      <c r="E718" s="503" t="s">
        <v>161</v>
      </c>
      <c r="F718" s="596">
        <f>+'F-5'!L40</f>
        <v>1061.2199999999998</v>
      </c>
      <c r="H718" s="360"/>
      <c r="I718" s="360"/>
      <c r="J718" s="379"/>
    </row>
    <row r="719" spans="2:10" ht="28.5" hidden="1" customHeight="1">
      <c r="B719" s="583"/>
      <c r="C719" s="502" t="s">
        <v>492</v>
      </c>
      <c r="D719" s="515" t="s">
        <v>491</v>
      </c>
      <c r="E719" s="503" t="s">
        <v>161</v>
      </c>
      <c r="F719" s="596">
        <f>+'F-5'!L25</f>
        <v>1549.9</v>
      </c>
      <c r="H719" s="360"/>
      <c r="I719" s="360"/>
      <c r="J719" s="379"/>
    </row>
    <row r="720" spans="2:10" ht="28.5" hidden="1" customHeight="1">
      <c r="B720" s="583"/>
      <c r="C720" s="502" t="s">
        <v>494</v>
      </c>
      <c r="D720" s="515" t="s">
        <v>936</v>
      </c>
      <c r="E720" s="503" t="s">
        <v>161</v>
      </c>
      <c r="F720" s="596">
        <f>+F718</f>
        <v>1061.2199999999998</v>
      </c>
      <c r="H720" s="360"/>
      <c r="I720" s="360"/>
      <c r="J720" s="379"/>
    </row>
    <row r="721" spans="2:10" ht="28.5" hidden="1" customHeight="1">
      <c r="B721" s="583"/>
      <c r="C721" s="502" t="s">
        <v>496</v>
      </c>
      <c r="D721" s="515" t="s">
        <v>937</v>
      </c>
      <c r="E721" s="503" t="s">
        <v>161</v>
      </c>
      <c r="F721" s="596">
        <f>+F719</f>
        <v>1549.9</v>
      </c>
      <c r="H721" s="360"/>
      <c r="I721" s="360"/>
      <c r="J721" s="379"/>
    </row>
    <row r="722" spans="2:10" ht="28.5" hidden="1" customHeight="1">
      <c r="B722" s="583"/>
      <c r="C722" s="502" t="s">
        <v>498</v>
      </c>
      <c r="D722" s="515" t="s">
        <v>938</v>
      </c>
      <c r="E722" s="503" t="s">
        <v>161</v>
      </c>
      <c r="F722" s="596">
        <f>+F720</f>
        <v>1061.2199999999998</v>
      </c>
      <c r="H722" s="361"/>
      <c r="I722" s="360"/>
      <c r="J722" s="379"/>
    </row>
    <row r="723" spans="2:10" ht="28.5" hidden="1" customHeight="1">
      <c r="B723" s="583"/>
      <c r="C723" s="502" t="s">
        <v>500</v>
      </c>
      <c r="D723" s="515" t="s">
        <v>499</v>
      </c>
      <c r="E723" s="503" t="s">
        <v>161</v>
      </c>
      <c r="F723" s="596">
        <f>+F721</f>
        <v>1549.9</v>
      </c>
      <c r="H723" s="362"/>
      <c r="I723" s="360"/>
      <c r="J723" s="379"/>
    </row>
    <row r="724" spans="2:10" ht="28.5" hidden="1" customHeight="1">
      <c r="B724" s="583"/>
      <c r="C724" s="504" t="s">
        <v>502</v>
      </c>
      <c r="D724" s="521" t="s">
        <v>503</v>
      </c>
      <c r="E724" s="505" t="s">
        <v>156</v>
      </c>
      <c r="F724" s="597"/>
      <c r="H724" s="363"/>
      <c r="I724" s="360"/>
      <c r="J724" s="379"/>
    </row>
    <row r="725" spans="2:10" ht="28.5" hidden="1" customHeight="1">
      <c r="B725" s="583"/>
      <c r="C725" s="506" t="s">
        <v>504</v>
      </c>
      <c r="D725" s="522" t="s">
        <v>505</v>
      </c>
      <c r="E725" s="507" t="s">
        <v>156</v>
      </c>
      <c r="F725" s="598"/>
      <c r="H725" s="360"/>
      <c r="I725" s="360"/>
      <c r="J725" s="379"/>
    </row>
    <row r="726" spans="2:10" ht="28.5" hidden="1" customHeight="1">
      <c r="B726" s="583"/>
      <c r="C726" s="502" t="s">
        <v>506</v>
      </c>
      <c r="D726" s="515" t="s">
        <v>862</v>
      </c>
      <c r="E726" s="503" t="s">
        <v>163</v>
      </c>
      <c r="F726" s="596">
        <f>+Accesorios!K37</f>
        <v>2</v>
      </c>
      <c r="H726" s="360"/>
      <c r="I726" s="360"/>
      <c r="J726" s="379"/>
    </row>
    <row r="727" spans="2:10" ht="28.5" hidden="1" customHeight="1">
      <c r="B727" s="583"/>
      <c r="C727" s="502" t="s">
        <v>508</v>
      </c>
      <c r="D727" s="515" t="s">
        <v>771</v>
      </c>
      <c r="E727" s="503" t="s">
        <v>163</v>
      </c>
      <c r="F727" s="596">
        <f>+Accesorios!K38</f>
        <v>1</v>
      </c>
      <c r="H727" s="360"/>
      <c r="I727" s="360"/>
      <c r="J727" s="379"/>
    </row>
    <row r="728" spans="2:10" ht="28.5" hidden="1" customHeight="1">
      <c r="B728" s="583"/>
      <c r="C728" s="502" t="s">
        <v>510</v>
      </c>
      <c r="D728" s="515" t="s">
        <v>939</v>
      </c>
      <c r="E728" s="503" t="s">
        <v>163</v>
      </c>
      <c r="F728" s="596">
        <f>+Accesorios!K39</f>
        <v>3</v>
      </c>
      <c r="H728" s="360"/>
      <c r="I728" s="360"/>
      <c r="J728" s="379"/>
    </row>
    <row r="729" spans="2:10" ht="28.5" hidden="1" customHeight="1">
      <c r="B729" s="583"/>
      <c r="C729" s="502" t="s">
        <v>512</v>
      </c>
      <c r="D729" s="515" t="s">
        <v>940</v>
      </c>
      <c r="E729" s="503" t="s">
        <v>163</v>
      </c>
      <c r="F729" s="596">
        <f>+Accesorios!K40</f>
        <v>2</v>
      </c>
      <c r="H729" s="360"/>
      <c r="I729" s="360"/>
      <c r="J729" s="379"/>
    </row>
    <row r="730" spans="2:10" ht="28.5" hidden="1" customHeight="1">
      <c r="B730" s="583"/>
      <c r="C730" s="502" t="s">
        <v>514</v>
      </c>
      <c r="D730" s="515" t="s">
        <v>941</v>
      </c>
      <c r="E730" s="503" t="s">
        <v>163</v>
      </c>
      <c r="F730" s="596">
        <f>+Accesorios!K41</f>
        <v>1</v>
      </c>
      <c r="H730" s="360"/>
      <c r="I730" s="360"/>
      <c r="J730" s="379"/>
    </row>
    <row r="731" spans="2:10" ht="28.5" hidden="1" customHeight="1">
      <c r="B731" s="583"/>
      <c r="C731" s="502" t="s">
        <v>516</v>
      </c>
      <c r="D731" s="515" t="s">
        <v>942</v>
      </c>
      <c r="E731" s="503" t="s">
        <v>163</v>
      </c>
      <c r="F731" s="596">
        <f>+Accesorios!K42</f>
        <v>10</v>
      </c>
      <c r="H731" s="360"/>
      <c r="I731" s="360"/>
      <c r="J731" s="379"/>
    </row>
    <row r="732" spans="2:10" ht="28.5" hidden="1" customHeight="1">
      <c r="B732" s="583"/>
      <c r="C732" s="502" t="s">
        <v>518</v>
      </c>
      <c r="D732" s="515" t="s">
        <v>943</v>
      </c>
      <c r="E732" s="503" t="s">
        <v>163</v>
      </c>
      <c r="F732" s="596">
        <f>+Accesorios!K43</f>
        <v>14</v>
      </c>
      <c r="H732" s="360"/>
      <c r="I732" s="360"/>
      <c r="J732" s="379"/>
    </row>
    <row r="733" spans="2:10" ht="28.5" hidden="1" customHeight="1">
      <c r="B733" s="583"/>
      <c r="C733" s="502" t="s">
        <v>944</v>
      </c>
      <c r="D733" s="515" t="s">
        <v>945</v>
      </c>
      <c r="E733" s="503" t="s">
        <v>163</v>
      </c>
      <c r="F733" s="596">
        <f>+Accesorios!K44</f>
        <v>22</v>
      </c>
      <c r="H733" s="360"/>
      <c r="I733" s="360"/>
      <c r="J733" s="379"/>
    </row>
    <row r="734" spans="2:10" ht="28.5" hidden="1" customHeight="1">
      <c r="B734" s="583"/>
      <c r="C734" s="502" t="s">
        <v>946</v>
      </c>
      <c r="D734" s="515" t="s">
        <v>507</v>
      </c>
      <c r="E734" s="503" t="s">
        <v>163</v>
      </c>
      <c r="F734" s="596">
        <f>+Accesorios!K45</f>
        <v>10</v>
      </c>
      <c r="H734" s="363"/>
      <c r="I734" s="360"/>
      <c r="J734" s="379"/>
    </row>
    <row r="735" spans="2:10" ht="28.5" hidden="1" customHeight="1">
      <c r="B735" s="583"/>
      <c r="C735" s="502" t="s">
        <v>947</v>
      </c>
      <c r="D735" s="515" t="s">
        <v>509</v>
      </c>
      <c r="E735" s="503" t="s">
        <v>163</v>
      </c>
      <c r="F735" s="596">
        <f>+Accesorios!K46</f>
        <v>2</v>
      </c>
      <c r="H735" s="360"/>
      <c r="I735" s="360"/>
      <c r="J735" s="379"/>
    </row>
    <row r="736" spans="2:10" ht="28.5" hidden="1" customHeight="1">
      <c r="B736" s="585"/>
      <c r="C736" s="502" t="s">
        <v>948</v>
      </c>
      <c r="D736" s="515" t="s">
        <v>511</v>
      </c>
      <c r="E736" s="503" t="s">
        <v>163</v>
      </c>
      <c r="F736" s="596">
        <f>+Accesorios!K47</f>
        <v>5</v>
      </c>
      <c r="H736" s="360"/>
      <c r="I736" s="360"/>
      <c r="J736" s="379"/>
    </row>
    <row r="737" spans="2:10" ht="28.5" hidden="1" customHeight="1">
      <c r="B737" s="583"/>
      <c r="C737" s="502" t="s">
        <v>949</v>
      </c>
      <c r="D737" s="515" t="s">
        <v>950</v>
      </c>
      <c r="E737" s="503" t="s">
        <v>163</v>
      </c>
      <c r="F737" s="596">
        <f>+Accesorios!K48</f>
        <v>1</v>
      </c>
      <c r="H737" s="360"/>
      <c r="I737" s="360"/>
      <c r="J737" s="379"/>
    </row>
    <row r="738" spans="2:10" ht="28.5" hidden="1" customHeight="1">
      <c r="B738" s="583"/>
      <c r="C738" s="502" t="s">
        <v>951</v>
      </c>
      <c r="D738" s="515" t="s">
        <v>952</v>
      </c>
      <c r="E738" s="503" t="s">
        <v>163</v>
      </c>
      <c r="F738" s="596">
        <f>+Accesorios!K49</f>
        <v>2</v>
      </c>
      <c r="H738" s="360"/>
      <c r="I738" s="360"/>
      <c r="J738" s="379"/>
    </row>
    <row r="739" spans="2:10" ht="28.5" hidden="1" customHeight="1">
      <c r="B739" s="583"/>
      <c r="C739" s="502" t="s">
        <v>953</v>
      </c>
      <c r="D739" s="515" t="s">
        <v>954</v>
      </c>
      <c r="E739" s="503" t="s">
        <v>163</v>
      </c>
      <c r="F739" s="596">
        <f>+Accesorios!K50</f>
        <v>1</v>
      </c>
      <c r="H739" s="362"/>
      <c r="I739" s="360"/>
      <c r="J739" s="379"/>
    </row>
    <row r="740" spans="2:10" ht="28.5" hidden="1" customHeight="1">
      <c r="B740" s="583"/>
      <c r="C740" s="502" t="s">
        <v>955</v>
      </c>
      <c r="D740" s="515" t="s">
        <v>956</v>
      </c>
      <c r="E740" s="503" t="s">
        <v>163</v>
      </c>
      <c r="F740" s="596">
        <f>+Accesorios!K51</f>
        <v>1</v>
      </c>
      <c r="H740" s="360"/>
      <c r="I740" s="360"/>
      <c r="J740" s="379"/>
    </row>
    <row r="741" spans="2:10" ht="28.5" hidden="1" customHeight="1">
      <c r="B741" s="583"/>
      <c r="C741" s="502" t="s">
        <v>957</v>
      </c>
      <c r="D741" s="515" t="s">
        <v>958</v>
      </c>
      <c r="E741" s="503" t="s">
        <v>163</v>
      </c>
      <c r="F741" s="596">
        <f>+Accesorios!K52</f>
        <v>1</v>
      </c>
      <c r="H741" s="360"/>
      <c r="I741" s="360"/>
      <c r="J741" s="379"/>
    </row>
    <row r="742" spans="2:10" ht="28.5" hidden="1" customHeight="1">
      <c r="B742" s="583"/>
      <c r="C742" s="502" t="s">
        <v>959</v>
      </c>
      <c r="D742" s="515" t="s">
        <v>827</v>
      </c>
      <c r="E742" s="503" t="s">
        <v>163</v>
      </c>
      <c r="F742" s="596">
        <f>+Accesorios!K53</f>
        <v>1</v>
      </c>
      <c r="H742" s="360"/>
      <c r="I742" s="360"/>
      <c r="J742" s="379"/>
    </row>
    <row r="743" spans="2:10" ht="28.5" hidden="1" customHeight="1">
      <c r="B743" s="584"/>
      <c r="C743" s="506" t="s">
        <v>519</v>
      </c>
      <c r="D743" s="522" t="s">
        <v>520</v>
      </c>
      <c r="E743" s="507" t="s">
        <v>156</v>
      </c>
      <c r="F743" s="598"/>
      <c r="H743" s="360"/>
      <c r="I743" s="360"/>
      <c r="J743" s="379"/>
    </row>
    <row r="744" spans="2:10" ht="28.5" hidden="1" customHeight="1">
      <c r="B744" s="583"/>
      <c r="C744" s="502" t="s">
        <v>521</v>
      </c>
      <c r="D744" s="515" t="s">
        <v>775</v>
      </c>
      <c r="E744" s="503" t="s">
        <v>163</v>
      </c>
      <c r="F744" s="596">
        <f>SUM(F726:F727)</f>
        <v>3</v>
      </c>
      <c r="H744" s="360"/>
      <c r="I744" s="360"/>
      <c r="J744" s="379"/>
    </row>
    <row r="745" spans="2:10" ht="28.5" hidden="1" customHeight="1">
      <c r="B745" s="583"/>
      <c r="C745" s="502" t="s">
        <v>523</v>
      </c>
      <c r="D745" s="515" t="s">
        <v>960</v>
      </c>
      <c r="E745" s="503" t="s">
        <v>163</v>
      </c>
      <c r="F745" s="596">
        <f>SUM(F728:F733,F737:F738,F742)</f>
        <v>56</v>
      </c>
      <c r="H745" s="360"/>
      <c r="I745" s="360"/>
      <c r="J745" s="379"/>
    </row>
    <row r="746" spans="2:10" ht="28.5" hidden="1" customHeight="1">
      <c r="B746" s="583"/>
      <c r="C746" s="502" t="s">
        <v>866</v>
      </c>
      <c r="D746" s="515" t="s">
        <v>522</v>
      </c>
      <c r="E746" s="503" t="s">
        <v>163</v>
      </c>
      <c r="F746" s="596">
        <f>SUM(F734:F736,F739:F741)</f>
        <v>20</v>
      </c>
      <c r="H746" s="360"/>
      <c r="I746" s="360"/>
      <c r="J746" s="379"/>
    </row>
    <row r="747" spans="2:10" ht="28.5" hidden="1" customHeight="1">
      <c r="B747" s="583"/>
      <c r="C747" s="502" t="s">
        <v>961</v>
      </c>
      <c r="D747" s="515" t="s">
        <v>776</v>
      </c>
      <c r="E747" s="503" t="s">
        <v>163</v>
      </c>
      <c r="F747" s="596">
        <f>+F744</f>
        <v>3</v>
      </c>
      <c r="H747" s="360"/>
      <c r="I747" s="360"/>
      <c r="J747" s="379"/>
    </row>
    <row r="748" spans="2:10" ht="28.5" hidden="1" customHeight="1">
      <c r="B748" s="584"/>
      <c r="C748" s="502" t="s">
        <v>962</v>
      </c>
      <c r="D748" s="515" t="s">
        <v>963</v>
      </c>
      <c r="E748" s="503" t="s">
        <v>163</v>
      </c>
      <c r="F748" s="596">
        <f>+F745</f>
        <v>56</v>
      </c>
      <c r="H748" s="360"/>
      <c r="I748" s="360"/>
      <c r="J748" s="379"/>
    </row>
    <row r="749" spans="2:10" ht="28.5" hidden="1" customHeight="1">
      <c r="B749" s="585"/>
      <c r="C749" s="502" t="s">
        <v>964</v>
      </c>
      <c r="D749" s="515" t="s">
        <v>524</v>
      </c>
      <c r="E749" s="503" t="s">
        <v>163</v>
      </c>
      <c r="F749" s="596">
        <f>+F746</f>
        <v>20</v>
      </c>
      <c r="H749" s="360"/>
      <c r="I749" s="360"/>
      <c r="J749" s="379"/>
    </row>
    <row r="750" spans="2:10" ht="28.5" hidden="1" customHeight="1">
      <c r="B750" s="586"/>
      <c r="C750" s="504" t="s">
        <v>525</v>
      </c>
      <c r="D750" s="521" t="s">
        <v>169</v>
      </c>
      <c r="E750" s="505" t="s">
        <v>156</v>
      </c>
      <c r="F750" s="597"/>
      <c r="H750" s="360"/>
      <c r="I750" s="360"/>
      <c r="J750" s="379"/>
    </row>
    <row r="751" spans="2:10" ht="28.5" hidden="1" customHeight="1">
      <c r="B751" s="583"/>
      <c r="C751" s="502" t="s">
        <v>526</v>
      </c>
      <c r="D751" s="515" t="s">
        <v>527</v>
      </c>
      <c r="E751" s="503" t="s">
        <v>163</v>
      </c>
      <c r="F751" s="596">
        <f>+ROUND((F718+F719)/50,0)</f>
        <v>52</v>
      </c>
      <c r="H751" s="362"/>
      <c r="I751" s="360"/>
      <c r="J751" s="379"/>
    </row>
    <row r="752" spans="2:10" ht="28.5" hidden="1" customHeight="1">
      <c r="B752" s="583"/>
      <c r="C752" s="502" t="s">
        <v>528</v>
      </c>
      <c r="D752" s="515" t="s">
        <v>529</v>
      </c>
      <c r="E752" s="503" t="s">
        <v>163</v>
      </c>
      <c r="F752" s="596">
        <v>24</v>
      </c>
      <c r="H752" s="363"/>
      <c r="I752" s="360"/>
      <c r="J752" s="379"/>
    </row>
    <row r="753" spans="2:10" ht="28.5" hidden="1" customHeight="1">
      <c r="B753" s="583"/>
      <c r="C753" s="502" t="s">
        <v>530</v>
      </c>
      <c r="D753" s="515" t="s">
        <v>707</v>
      </c>
      <c r="E753" s="503" t="s">
        <v>161</v>
      </c>
      <c r="F753" s="596">
        <f>+F722</f>
        <v>1061.2199999999998</v>
      </c>
      <c r="H753" s="360"/>
      <c r="I753" s="360"/>
      <c r="J753" s="379"/>
    </row>
    <row r="754" spans="2:10" ht="28.5" hidden="1" customHeight="1">
      <c r="B754" s="583"/>
      <c r="C754" s="502" t="s">
        <v>532</v>
      </c>
      <c r="D754" s="515" t="s">
        <v>531</v>
      </c>
      <c r="E754" s="503" t="s">
        <v>161</v>
      </c>
      <c r="F754" s="596">
        <f>+F723</f>
        <v>1549.9</v>
      </c>
      <c r="H754" s="360"/>
      <c r="I754" s="360"/>
      <c r="J754" s="379"/>
    </row>
    <row r="755" spans="2:10" ht="28.5" hidden="1" customHeight="1">
      <c r="B755" s="583"/>
      <c r="C755" s="504" t="s">
        <v>534</v>
      </c>
      <c r="D755" s="521" t="s">
        <v>535</v>
      </c>
      <c r="E755" s="505" t="s">
        <v>156</v>
      </c>
      <c r="F755" s="597"/>
      <c r="H755" s="360"/>
      <c r="I755" s="360"/>
      <c r="J755" s="379"/>
    </row>
    <row r="756" spans="2:10" ht="28.5" hidden="1" customHeight="1">
      <c r="B756" s="583"/>
      <c r="C756" s="506" t="s">
        <v>536</v>
      </c>
      <c r="D756" s="522" t="s">
        <v>1297</v>
      </c>
      <c r="E756" s="507" t="s">
        <v>156</v>
      </c>
      <c r="F756" s="598"/>
      <c r="H756" s="360"/>
      <c r="I756" s="360"/>
      <c r="J756" s="379"/>
    </row>
    <row r="757" spans="2:10" ht="28.5" hidden="1" customHeight="1">
      <c r="B757" s="583"/>
      <c r="C757" s="508" t="s">
        <v>537</v>
      </c>
      <c r="D757" s="604" t="s">
        <v>777</v>
      </c>
      <c r="E757" s="509" t="s">
        <v>156</v>
      </c>
      <c r="F757" s="605"/>
      <c r="H757" s="360"/>
      <c r="I757" s="360"/>
      <c r="J757" s="379"/>
    </row>
    <row r="758" spans="2:10" ht="28.5" hidden="1" customHeight="1">
      <c r="B758" s="583"/>
      <c r="C758" s="502" t="s">
        <v>538</v>
      </c>
      <c r="D758" s="515" t="s">
        <v>157</v>
      </c>
      <c r="E758" s="503" t="s">
        <v>158</v>
      </c>
      <c r="F758" s="596">
        <f>+Mejoramientos!K352</f>
        <v>6.2699999999999995E-3</v>
      </c>
      <c r="H758" s="360"/>
      <c r="I758" s="360"/>
      <c r="J758" s="379"/>
    </row>
    <row r="759" spans="2:10" ht="28.5" hidden="1" customHeight="1">
      <c r="B759" s="583"/>
      <c r="C759" s="502" t="s">
        <v>779</v>
      </c>
      <c r="D759" s="515" t="s">
        <v>159</v>
      </c>
      <c r="E759" s="503" t="s">
        <v>158</v>
      </c>
      <c r="F759" s="596">
        <f>+Mejoramientos!K353</f>
        <v>6.2699999999999995E-3</v>
      </c>
      <c r="H759" s="360"/>
      <c r="I759" s="360"/>
      <c r="J759" s="379"/>
    </row>
    <row r="760" spans="2:10" ht="28.5" hidden="1" customHeight="1">
      <c r="B760" s="586"/>
      <c r="C760" s="502" t="s">
        <v>781</v>
      </c>
      <c r="D760" s="515" t="s">
        <v>409</v>
      </c>
      <c r="E760" s="503" t="s">
        <v>161</v>
      </c>
      <c r="F760" s="596">
        <f>+Mejoramientos!K354</f>
        <v>12.54</v>
      </c>
      <c r="H760" s="360"/>
      <c r="I760" s="360"/>
      <c r="J760" s="379"/>
    </row>
    <row r="761" spans="2:10" ht="28.5" hidden="1" customHeight="1">
      <c r="B761" s="583"/>
      <c r="C761" s="502" t="s">
        <v>965</v>
      </c>
      <c r="D761" s="515" t="s">
        <v>162</v>
      </c>
      <c r="E761" s="503" t="s">
        <v>161</v>
      </c>
      <c r="F761" s="596">
        <f>+Mejoramientos!K355</f>
        <v>12.54</v>
      </c>
      <c r="H761" s="360"/>
      <c r="I761" s="360"/>
      <c r="J761" s="379"/>
    </row>
    <row r="762" spans="2:10" ht="28.5" hidden="1" customHeight="1">
      <c r="B762" s="583"/>
      <c r="C762" s="502" t="s">
        <v>966</v>
      </c>
      <c r="D762" s="515" t="s">
        <v>160</v>
      </c>
      <c r="E762" s="503" t="s">
        <v>161</v>
      </c>
      <c r="F762" s="596">
        <f>+Mejoramientos!K356</f>
        <v>6.27</v>
      </c>
      <c r="H762" s="363"/>
      <c r="I762" s="360"/>
      <c r="J762" s="379"/>
    </row>
    <row r="763" spans="2:10" ht="28.5" hidden="1" customHeight="1">
      <c r="B763" s="583"/>
      <c r="C763" s="502" t="s">
        <v>1266</v>
      </c>
      <c r="D763" s="515" t="s">
        <v>822</v>
      </c>
      <c r="E763" s="503" t="s">
        <v>161</v>
      </c>
      <c r="F763" s="596">
        <f>+Mejoramientos!K357</f>
        <v>6.27</v>
      </c>
      <c r="H763" s="360"/>
      <c r="I763" s="360"/>
      <c r="J763" s="379"/>
    </row>
    <row r="764" spans="2:10" ht="28.5" hidden="1" customHeight="1">
      <c r="B764" s="583"/>
      <c r="C764" s="502" t="s">
        <v>1267</v>
      </c>
      <c r="D764" s="515" t="s">
        <v>744</v>
      </c>
      <c r="E764" s="503" t="s">
        <v>161</v>
      </c>
      <c r="F764" s="596">
        <f>+Mejoramientos!K358</f>
        <v>6.27</v>
      </c>
      <c r="H764" s="360"/>
      <c r="I764" s="360"/>
      <c r="J764" s="379"/>
    </row>
    <row r="765" spans="2:10" ht="28.5" hidden="1" customHeight="1">
      <c r="B765" s="585"/>
      <c r="C765" s="502" t="s">
        <v>1268</v>
      </c>
      <c r="D765" s="515" t="s">
        <v>747</v>
      </c>
      <c r="E765" s="503" t="s">
        <v>161</v>
      </c>
      <c r="F765" s="596">
        <f>+Mejoramientos!K359</f>
        <v>6.27</v>
      </c>
      <c r="H765" s="360"/>
      <c r="I765" s="360"/>
      <c r="J765" s="379"/>
    </row>
    <row r="766" spans="2:10" ht="28.5" hidden="1" customHeight="1">
      <c r="B766" s="583"/>
      <c r="C766" s="502" t="s">
        <v>1269</v>
      </c>
      <c r="D766" s="515" t="s">
        <v>758</v>
      </c>
      <c r="E766" s="503" t="s">
        <v>161</v>
      </c>
      <c r="F766" s="596">
        <f>+Mejoramientos!K360</f>
        <v>6.27</v>
      </c>
      <c r="H766" s="360"/>
      <c r="I766" s="360"/>
      <c r="J766" s="379"/>
    </row>
    <row r="767" spans="2:10" ht="28.5" hidden="1" customHeight="1">
      <c r="B767" s="583"/>
      <c r="C767" s="508" t="s">
        <v>539</v>
      </c>
      <c r="D767" s="604" t="s">
        <v>783</v>
      </c>
      <c r="E767" s="509" t="s">
        <v>156</v>
      </c>
      <c r="F767" s="596">
        <f>+Mejoramientos!K361</f>
        <v>0</v>
      </c>
      <c r="H767" s="360"/>
      <c r="I767" s="360"/>
      <c r="J767" s="379"/>
    </row>
    <row r="768" spans="2:10" ht="28.5" hidden="1" customHeight="1">
      <c r="B768" s="583"/>
      <c r="C768" s="502" t="s">
        <v>540</v>
      </c>
      <c r="D768" s="515" t="s">
        <v>767</v>
      </c>
      <c r="E768" s="503" t="s">
        <v>161</v>
      </c>
      <c r="F768" s="596">
        <f>+Mejoramientos!K362</f>
        <v>6.27</v>
      </c>
      <c r="H768" s="360"/>
      <c r="I768" s="360"/>
      <c r="J768" s="379"/>
    </row>
    <row r="769" spans="2:10" ht="28.5" hidden="1" customHeight="1">
      <c r="B769" s="583"/>
      <c r="C769" s="502" t="s">
        <v>542</v>
      </c>
      <c r="D769" s="515" t="s">
        <v>768</v>
      </c>
      <c r="E769" s="503" t="s">
        <v>161</v>
      </c>
      <c r="F769" s="596">
        <f>+Mejoramientos!K363</f>
        <v>6.27</v>
      </c>
      <c r="H769" s="360"/>
      <c r="I769" s="360"/>
      <c r="J769" s="379"/>
    </row>
    <row r="770" spans="2:10" ht="28.5" hidden="1" customHeight="1">
      <c r="B770" s="583"/>
      <c r="C770" s="502" t="s">
        <v>544</v>
      </c>
      <c r="D770" s="515" t="s">
        <v>769</v>
      </c>
      <c r="E770" s="503" t="s">
        <v>161</v>
      </c>
      <c r="F770" s="596">
        <f>+Mejoramientos!K364</f>
        <v>6.27</v>
      </c>
      <c r="H770" s="360"/>
      <c r="I770" s="360"/>
      <c r="J770" s="379"/>
    </row>
    <row r="771" spans="2:10" ht="28.5" hidden="1" customHeight="1">
      <c r="B771" s="583"/>
      <c r="C771" s="502" t="s">
        <v>546</v>
      </c>
      <c r="D771" s="515" t="s">
        <v>770</v>
      </c>
      <c r="E771" s="503" t="s">
        <v>161</v>
      </c>
      <c r="F771" s="596">
        <f>+Mejoramientos!K365</f>
        <v>6.27</v>
      </c>
      <c r="H771" s="360"/>
      <c r="I771" s="360"/>
      <c r="J771" s="379"/>
    </row>
    <row r="772" spans="2:10" ht="28.5" hidden="1" customHeight="1">
      <c r="B772" s="583"/>
      <c r="C772" s="506" t="s">
        <v>553</v>
      </c>
      <c r="D772" s="522" t="s">
        <v>1265</v>
      </c>
      <c r="E772" s="507" t="s">
        <v>156</v>
      </c>
      <c r="F772" s="596">
        <f>+Mejoramientos!K366</f>
        <v>0</v>
      </c>
      <c r="H772" s="362"/>
      <c r="I772" s="360"/>
      <c r="J772" s="379"/>
    </row>
    <row r="773" spans="2:10" ht="28.5" hidden="1" customHeight="1">
      <c r="B773" s="583"/>
      <c r="C773" s="502" t="s">
        <v>554</v>
      </c>
      <c r="D773" s="587" t="s">
        <v>1239</v>
      </c>
      <c r="E773" s="503" t="s">
        <v>163</v>
      </c>
      <c r="F773" s="596">
        <f>+Mejoramientos!K367</f>
        <v>1</v>
      </c>
      <c r="H773" s="363"/>
      <c r="I773" s="360"/>
      <c r="J773" s="379"/>
    </row>
    <row r="774" spans="2:10" ht="28.5" hidden="1" customHeight="1">
      <c r="B774" s="583"/>
      <c r="C774" s="502" t="s">
        <v>557</v>
      </c>
      <c r="D774" s="515" t="s">
        <v>491</v>
      </c>
      <c r="E774" s="503" t="s">
        <v>161</v>
      </c>
      <c r="F774" s="596">
        <f>+Mejoramientos!K368</f>
        <v>1</v>
      </c>
      <c r="H774" s="360"/>
      <c r="I774" s="360"/>
      <c r="J774" s="379"/>
    </row>
    <row r="775" spans="2:10" ht="28.5" hidden="1" customHeight="1">
      <c r="B775" s="583"/>
      <c r="C775" s="502" t="s">
        <v>565</v>
      </c>
      <c r="D775" s="587" t="s">
        <v>495</v>
      </c>
      <c r="E775" s="503" t="s">
        <v>161</v>
      </c>
      <c r="F775" s="596">
        <f>+F774</f>
        <v>1</v>
      </c>
      <c r="H775" s="360"/>
      <c r="I775" s="360"/>
      <c r="J775" s="379"/>
    </row>
    <row r="776" spans="2:10" ht="28.5" hidden="1" customHeight="1">
      <c r="B776" s="583"/>
      <c r="C776" s="502" t="s">
        <v>967</v>
      </c>
      <c r="D776" s="587" t="s">
        <v>499</v>
      </c>
      <c r="E776" s="503" t="s">
        <v>161</v>
      </c>
      <c r="F776" s="596">
        <f>+F775</f>
        <v>1</v>
      </c>
      <c r="H776" s="360"/>
      <c r="I776" s="360"/>
      <c r="J776" s="379"/>
    </row>
    <row r="777" spans="2:10" ht="28.5" hidden="1" customHeight="1">
      <c r="B777" s="583"/>
      <c r="C777" s="502" t="s">
        <v>968</v>
      </c>
      <c r="D777" s="515" t="s">
        <v>431</v>
      </c>
      <c r="E777" s="503" t="s">
        <v>161</v>
      </c>
      <c r="F777" s="596">
        <f>+Mejoramientos!K371</f>
        <v>1</v>
      </c>
      <c r="H777" s="360"/>
      <c r="I777" s="360"/>
      <c r="J777" s="379"/>
    </row>
    <row r="778" spans="2:10" ht="28.5" hidden="1" customHeight="1">
      <c r="B778" s="585"/>
      <c r="C778" s="502" t="s">
        <v>969</v>
      </c>
      <c r="D778" s="515" t="s">
        <v>447</v>
      </c>
      <c r="E778" s="503" t="s">
        <v>161</v>
      </c>
      <c r="F778" s="596">
        <f>+Mejoramientos!K372</f>
        <v>1</v>
      </c>
      <c r="H778" s="360"/>
      <c r="I778" s="360"/>
      <c r="J778" s="379"/>
    </row>
    <row r="779" spans="2:10" ht="28.5" hidden="1" customHeight="1">
      <c r="B779" s="586"/>
      <c r="C779" s="502" t="s">
        <v>970</v>
      </c>
      <c r="D779" s="515" t="s">
        <v>451</v>
      </c>
      <c r="E779" s="503" t="s">
        <v>161</v>
      </c>
      <c r="F779" s="596">
        <f>+Mejoramientos!K373</f>
        <v>1</v>
      </c>
      <c r="H779" s="360"/>
      <c r="I779" s="360"/>
      <c r="J779" s="379"/>
    </row>
    <row r="780" spans="2:10" ht="28.5" hidden="1" customHeight="1">
      <c r="B780" s="583"/>
      <c r="C780" s="502" t="s">
        <v>971</v>
      </c>
      <c r="D780" s="515" t="s">
        <v>473</v>
      </c>
      <c r="E780" s="503" t="s">
        <v>161</v>
      </c>
      <c r="F780" s="596">
        <f>+Mejoramientos!K374</f>
        <v>1</v>
      </c>
      <c r="H780" s="360"/>
      <c r="I780" s="360"/>
      <c r="J780" s="379"/>
    </row>
    <row r="781" spans="2:10" ht="28.5" hidden="1" customHeight="1">
      <c r="B781" s="583"/>
      <c r="C781" s="502" t="s">
        <v>972</v>
      </c>
      <c r="D781" s="515" t="s">
        <v>507</v>
      </c>
      <c r="E781" s="503" t="s">
        <v>163</v>
      </c>
      <c r="F781" s="596">
        <f>+Mejoramientos!K375</f>
        <v>2</v>
      </c>
      <c r="H781" s="360"/>
      <c r="I781" s="360"/>
      <c r="J781" s="379"/>
    </row>
    <row r="782" spans="2:10" ht="28.5" hidden="1" customHeight="1">
      <c r="B782" s="583"/>
      <c r="C782" s="502" t="s">
        <v>1275</v>
      </c>
      <c r="D782" s="515" t="s">
        <v>522</v>
      </c>
      <c r="E782" s="503" t="s">
        <v>163</v>
      </c>
      <c r="F782" s="596">
        <f>+Mejoramientos!K376</f>
        <v>2</v>
      </c>
      <c r="H782" s="360"/>
      <c r="I782" s="360"/>
      <c r="J782" s="379"/>
    </row>
    <row r="783" spans="2:10" ht="28.5" hidden="1" customHeight="1">
      <c r="B783" s="583"/>
      <c r="C783" s="502" t="s">
        <v>1276</v>
      </c>
      <c r="D783" s="515" t="s">
        <v>524</v>
      </c>
      <c r="E783" s="503" t="s">
        <v>163</v>
      </c>
      <c r="F783" s="596">
        <f>+Mejoramientos!K377</f>
        <v>2</v>
      </c>
      <c r="H783" s="363"/>
      <c r="I783" s="360"/>
      <c r="J783" s="379"/>
    </row>
    <row r="784" spans="2:10" ht="28.5" hidden="1" customHeight="1">
      <c r="B784" s="583"/>
      <c r="C784" s="502" t="s">
        <v>1298</v>
      </c>
      <c r="D784" s="515" t="s">
        <v>531</v>
      </c>
      <c r="E784" s="503" t="s">
        <v>161</v>
      </c>
      <c r="F784" s="596">
        <f>+Mejoramientos!K378</f>
        <v>1</v>
      </c>
      <c r="H784" s="360"/>
      <c r="I784" s="360"/>
      <c r="J784" s="379"/>
    </row>
    <row r="785" spans="2:10" ht="28.5" hidden="1" customHeight="1">
      <c r="B785" s="583"/>
      <c r="C785" s="506" t="s">
        <v>567</v>
      </c>
      <c r="D785" s="522" t="s">
        <v>1299</v>
      </c>
      <c r="E785" s="507" t="s">
        <v>156</v>
      </c>
      <c r="F785" s="596">
        <f>+Mejoramientos!K379</f>
        <v>0</v>
      </c>
      <c r="H785" s="360"/>
      <c r="I785" s="360"/>
      <c r="J785" s="379"/>
    </row>
    <row r="786" spans="2:10" ht="28.5" hidden="1" customHeight="1">
      <c r="B786" s="583"/>
      <c r="C786" s="508" t="s">
        <v>568</v>
      </c>
      <c r="D786" s="604" t="s">
        <v>777</v>
      </c>
      <c r="E786" s="509" t="s">
        <v>156</v>
      </c>
      <c r="F786" s="596">
        <f>+Mejoramientos!K380</f>
        <v>0</v>
      </c>
      <c r="H786" s="360"/>
      <c r="I786" s="360"/>
      <c r="J786" s="379"/>
    </row>
    <row r="787" spans="2:10" ht="28.5" hidden="1" customHeight="1">
      <c r="B787" s="583"/>
      <c r="C787" s="502" t="s">
        <v>569</v>
      </c>
      <c r="D787" s="515" t="s">
        <v>157</v>
      </c>
      <c r="E787" s="503" t="s">
        <v>158</v>
      </c>
      <c r="F787" s="596">
        <f>+Mejoramientos!K381</f>
        <v>2.1899999999999999E-2</v>
      </c>
      <c r="H787" s="360"/>
      <c r="I787" s="360"/>
      <c r="J787" s="379"/>
    </row>
    <row r="788" spans="2:10" ht="28.5" hidden="1" customHeight="1">
      <c r="B788" s="583"/>
      <c r="C788" s="502" t="s">
        <v>880</v>
      </c>
      <c r="D788" s="515" t="s">
        <v>159</v>
      </c>
      <c r="E788" s="503" t="s">
        <v>158</v>
      </c>
      <c r="F788" s="596">
        <f>+Mejoramientos!K382</f>
        <v>2.1899999999999999E-2</v>
      </c>
      <c r="H788" s="360"/>
      <c r="I788" s="360"/>
      <c r="J788" s="379"/>
    </row>
    <row r="789" spans="2:10" ht="28.5" hidden="1" customHeight="1">
      <c r="B789" s="583"/>
      <c r="C789" s="502" t="s">
        <v>973</v>
      </c>
      <c r="D789" s="515" t="s">
        <v>409</v>
      </c>
      <c r="E789" s="503" t="s">
        <v>161</v>
      </c>
      <c r="F789" s="596">
        <f>+Mejoramientos!K383</f>
        <v>43.8</v>
      </c>
      <c r="H789" s="360"/>
      <c r="I789" s="360"/>
      <c r="J789" s="379"/>
    </row>
    <row r="790" spans="2:10" ht="28.5" hidden="1" customHeight="1">
      <c r="B790" s="586"/>
      <c r="C790" s="502" t="s">
        <v>974</v>
      </c>
      <c r="D790" s="515" t="s">
        <v>162</v>
      </c>
      <c r="E790" s="503" t="s">
        <v>161</v>
      </c>
      <c r="F790" s="596">
        <f>+Mejoramientos!K384</f>
        <v>43.8</v>
      </c>
      <c r="H790" s="360"/>
      <c r="I790" s="360"/>
      <c r="J790" s="379"/>
    </row>
    <row r="791" spans="2:10" ht="28.5" hidden="1" customHeight="1">
      <c r="B791" s="583"/>
      <c r="C791" s="502" t="s">
        <v>975</v>
      </c>
      <c r="D791" s="515" t="s">
        <v>160</v>
      </c>
      <c r="E791" s="503" t="s">
        <v>161</v>
      </c>
      <c r="F791" s="596">
        <f>+Mejoramientos!K385</f>
        <v>21.9</v>
      </c>
      <c r="H791" s="360"/>
      <c r="I791" s="360"/>
      <c r="J791" s="379"/>
    </row>
    <row r="792" spans="2:10" ht="28.5" hidden="1" customHeight="1">
      <c r="B792" s="583"/>
      <c r="C792" s="502" t="s">
        <v>1300</v>
      </c>
      <c r="D792" s="515" t="s">
        <v>822</v>
      </c>
      <c r="E792" s="503" t="s">
        <v>161</v>
      </c>
      <c r="F792" s="596">
        <f>+Mejoramientos!K386</f>
        <v>21.9</v>
      </c>
      <c r="H792" s="360"/>
      <c r="I792" s="360"/>
      <c r="J792" s="379"/>
    </row>
    <row r="793" spans="2:10" ht="28.5" hidden="1" customHeight="1">
      <c r="B793" s="583"/>
      <c r="C793" s="502" t="s">
        <v>1301</v>
      </c>
      <c r="D793" s="515" t="s">
        <v>744</v>
      </c>
      <c r="E793" s="503" t="s">
        <v>161</v>
      </c>
      <c r="F793" s="596">
        <f>+Mejoramientos!K387</f>
        <v>21.9</v>
      </c>
      <c r="H793" s="360"/>
      <c r="I793" s="360"/>
      <c r="J793" s="379"/>
    </row>
    <row r="794" spans="2:10" ht="28.5" hidden="1" customHeight="1">
      <c r="B794" s="583"/>
      <c r="C794" s="502" t="s">
        <v>1302</v>
      </c>
      <c r="D794" s="515" t="s">
        <v>747</v>
      </c>
      <c r="E794" s="503" t="s">
        <v>161</v>
      </c>
      <c r="F794" s="596">
        <f>+Mejoramientos!K388</f>
        <v>21.9</v>
      </c>
      <c r="H794" s="360"/>
      <c r="I794" s="360"/>
      <c r="J794" s="379"/>
    </row>
    <row r="795" spans="2:10" ht="28.5" hidden="1" customHeight="1">
      <c r="B795" s="583"/>
      <c r="C795" s="502" t="s">
        <v>1303</v>
      </c>
      <c r="D795" s="515" t="s">
        <v>758</v>
      </c>
      <c r="E795" s="503" t="s">
        <v>161</v>
      </c>
      <c r="F795" s="596">
        <f>+Mejoramientos!K389</f>
        <v>21.9</v>
      </c>
      <c r="H795" s="360"/>
      <c r="I795" s="360"/>
      <c r="J795" s="379"/>
    </row>
    <row r="796" spans="2:10" ht="28.5" hidden="1" customHeight="1">
      <c r="B796" s="583"/>
      <c r="C796" s="502" t="s">
        <v>1304</v>
      </c>
      <c r="D796" s="587" t="s">
        <v>1239</v>
      </c>
      <c r="E796" s="503" t="s">
        <v>163</v>
      </c>
      <c r="F796" s="596">
        <f>+Mejoramientos!K390</f>
        <v>1</v>
      </c>
      <c r="H796" s="360"/>
      <c r="I796" s="360"/>
      <c r="J796" s="379"/>
    </row>
    <row r="797" spans="2:10" ht="28.5" hidden="1" customHeight="1">
      <c r="B797" s="583"/>
      <c r="C797" s="508" t="s">
        <v>571</v>
      </c>
      <c r="D797" s="604" t="s">
        <v>783</v>
      </c>
      <c r="E797" s="509" t="s">
        <v>156</v>
      </c>
      <c r="F797" s="596">
        <f>+Mejoramientos!K391</f>
        <v>0</v>
      </c>
      <c r="H797" s="362"/>
      <c r="I797" s="360"/>
      <c r="J797" s="379"/>
    </row>
    <row r="798" spans="2:10" ht="28.5" hidden="1" customHeight="1">
      <c r="B798" s="583"/>
      <c r="C798" s="502" t="s">
        <v>572</v>
      </c>
      <c r="D798" s="515" t="s">
        <v>767</v>
      </c>
      <c r="E798" s="503" t="s">
        <v>161</v>
      </c>
      <c r="F798" s="596">
        <f>+Mejoramientos!K392</f>
        <v>21.9</v>
      </c>
      <c r="H798" s="363"/>
      <c r="I798" s="360"/>
      <c r="J798" s="379"/>
    </row>
    <row r="799" spans="2:10" ht="28.5" hidden="1" customHeight="1">
      <c r="B799" s="583"/>
      <c r="C799" s="502" t="s">
        <v>574</v>
      </c>
      <c r="D799" s="515" t="s">
        <v>768</v>
      </c>
      <c r="E799" s="503" t="s">
        <v>161</v>
      </c>
      <c r="F799" s="596">
        <f>+Mejoramientos!K393</f>
        <v>21.9</v>
      </c>
      <c r="H799" s="360"/>
      <c r="I799" s="360"/>
      <c r="J799" s="379"/>
    </row>
    <row r="800" spans="2:10" ht="28.5" hidden="1" customHeight="1">
      <c r="B800" s="583"/>
      <c r="C800" s="502" t="s">
        <v>576</v>
      </c>
      <c r="D800" s="515" t="s">
        <v>769</v>
      </c>
      <c r="E800" s="503" t="s">
        <v>161</v>
      </c>
      <c r="F800" s="596">
        <f>+Mejoramientos!K394</f>
        <v>21.9</v>
      </c>
      <c r="H800" s="360"/>
      <c r="I800" s="360"/>
      <c r="J800" s="379"/>
    </row>
    <row r="801" spans="2:10" ht="28.5" hidden="1" customHeight="1">
      <c r="B801" s="583"/>
      <c r="C801" s="502" t="s">
        <v>578</v>
      </c>
      <c r="D801" s="515" t="s">
        <v>770</v>
      </c>
      <c r="E801" s="503" t="s">
        <v>161</v>
      </c>
      <c r="F801" s="596">
        <f>+Mejoramientos!K395</f>
        <v>21.9</v>
      </c>
      <c r="H801" s="360"/>
      <c r="I801" s="360"/>
      <c r="J801" s="379"/>
    </row>
    <row r="802" spans="2:10" ht="28.5" hidden="1" customHeight="1">
      <c r="B802" s="585"/>
      <c r="C802" s="502" t="s">
        <v>580</v>
      </c>
      <c r="D802" s="515" t="s">
        <v>862</v>
      </c>
      <c r="E802" s="503" t="s">
        <v>163</v>
      </c>
      <c r="F802" s="596">
        <f>+Mejoramientos!K396</f>
        <v>2</v>
      </c>
      <c r="H802" s="360"/>
      <c r="I802" s="360"/>
      <c r="J802" s="379"/>
    </row>
    <row r="803" spans="2:10" ht="28.5" hidden="1" customHeight="1">
      <c r="B803" s="586"/>
      <c r="C803" s="502" t="s">
        <v>582</v>
      </c>
      <c r="D803" s="587" t="s">
        <v>842</v>
      </c>
      <c r="E803" s="503" t="s">
        <v>163</v>
      </c>
      <c r="F803" s="596">
        <f>+Mejoramientos!K397</f>
        <v>1</v>
      </c>
      <c r="G803" s="583"/>
      <c r="H803" s="360"/>
      <c r="I803" s="360"/>
      <c r="J803" s="379"/>
    </row>
    <row r="804" spans="2:10" ht="28.5" hidden="1" customHeight="1">
      <c r="B804" s="583"/>
      <c r="C804" s="502" t="s">
        <v>584</v>
      </c>
      <c r="D804" s="587" t="s">
        <v>878</v>
      </c>
      <c r="E804" s="503" t="s">
        <v>163</v>
      </c>
      <c r="F804" s="596">
        <f>+Mejoramientos!K398</f>
        <v>1</v>
      </c>
      <c r="G804" s="583"/>
      <c r="H804" s="360"/>
      <c r="I804" s="360"/>
      <c r="J804" s="379"/>
    </row>
    <row r="805" spans="2:10" ht="28.5" hidden="1" customHeight="1">
      <c r="B805" s="583"/>
      <c r="C805" s="502" t="s">
        <v>586</v>
      </c>
      <c r="D805" s="515" t="s">
        <v>775</v>
      </c>
      <c r="E805" s="503" t="s">
        <v>163</v>
      </c>
      <c r="F805" s="596">
        <f>+Mejoramientos!K399</f>
        <v>4</v>
      </c>
      <c r="H805" s="360"/>
      <c r="I805" s="360"/>
      <c r="J805" s="379"/>
    </row>
    <row r="806" spans="2:10" ht="28.5" hidden="1" customHeight="1">
      <c r="B806" s="583"/>
      <c r="C806" s="502" t="s">
        <v>588</v>
      </c>
      <c r="D806" s="515" t="s">
        <v>776</v>
      </c>
      <c r="E806" s="503" t="s">
        <v>163</v>
      </c>
      <c r="F806" s="596">
        <f>+Mejoramientos!K400</f>
        <v>4</v>
      </c>
      <c r="H806" s="360"/>
      <c r="I806" s="360"/>
      <c r="J806" s="379"/>
    </row>
    <row r="807" spans="2:10" ht="28.5" hidden="1" customHeight="1">
      <c r="B807" s="583"/>
      <c r="C807" s="502" t="s">
        <v>590</v>
      </c>
      <c r="D807" s="515" t="s">
        <v>606</v>
      </c>
      <c r="E807" s="503" t="s">
        <v>163</v>
      </c>
      <c r="F807" s="596">
        <f>+Mejoramientos!K401</f>
        <v>1</v>
      </c>
      <c r="H807" s="360"/>
      <c r="I807" s="360"/>
      <c r="J807" s="379"/>
    </row>
    <row r="808" spans="2:10" ht="28.5" hidden="1" customHeight="1">
      <c r="B808" s="583"/>
      <c r="C808" s="502" t="s">
        <v>592</v>
      </c>
      <c r="D808" s="515" t="s">
        <v>976</v>
      </c>
      <c r="E808" s="503" t="s">
        <v>163</v>
      </c>
      <c r="F808" s="596">
        <f>+Mejoramientos!K402</f>
        <v>1</v>
      </c>
      <c r="H808" s="363"/>
      <c r="I808" s="360"/>
      <c r="J808" s="379"/>
    </row>
    <row r="809" spans="2:10" ht="28.5" hidden="1" customHeight="1">
      <c r="B809" s="583"/>
      <c r="C809" s="506" t="s">
        <v>977</v>
      </c>
      <c r="D809" s="522" t="s">
        <v>1305</v>
      </c>
      <c r="E809" s="507" t="s">
        <v>156</v>
      </c>
      <c r="F809" s="596">
        <f>+Mejoramientos!K403</f>
        <v>0</v>
      </c>
      <c r="H809" s="360"/>
      <c r="I809" s="360"/>
      <c r="J809" s="379"/>
    </row>
    <row r="810" spans="2:10" ht="28.5" hidden="1" customHeight="1">
      <c r="B810" s="583"/>
      <c r="C810" s="508" t="s">
        <v>978</v>
      </c>
      <c r="D810" s="604" t="s">
        <v>777</v>
      </c>
      <c r="E810" s="509" t="s">
        <v>156</v>
      </c>
      <c r="F810" s="596">
        <f>+Mejoramientos!K404</f>
        <v>0</v>
      </c>
      <c r="H810" s="360"/>
      <c r="I810" s="360"/>
      <c r="J810" s="379"/>
    </row>
    <row r="811" spans="2:10" ht="28.5" hidden="1" customHeight="1">
      <c r="B811" s="583"/>
      <c r="C811" s="502" t="s">
        <v>979</v>
      </c>
      <c r="D811" s="515" t="s">
        <v>157</v>
      </c>
      <c r="E811" s="503" t="s">
        <v>158</v>
      </c>
      <c r="F811" s="596">
        <f>+Mejoramientos!K405</f>
        <v>3.7899999999999996E-2</v>
      </c>
      <c r="H811" s="360"/>
      <c r="I811" s="360"/>
      <c r="J811" s="379"/>
    </row>
    <row r="812" spans="2:10" ht="28.5" hidden="1" customHeight="1">
      <c r="B812" s="583"/>
      <c r="C812" s="502" t="s">
        <v>980</v>
      </c>
      <c r="D812" s="515" t="s">
        <v>159</v>
      </c>
      <c r="E812" s="503" t="s">
        <v>158</v>
      </c>
      <c r="F812" s="596">
        <f>+Mejoramientos!K406</f>
        <v>3.7899999999999996E-2</v>
      </c>
      <c r="H812" s="360"/>
      <c r="I812" s="360"/>
      <c r="J812" s="379"/>
    </row>
    <row r="813" spans="2:10" ht="28.5" hidden="1" customHeight="1">
      <c r="B813" s="586"/>
      <c r="C813" s="502" t="s">
        <v>981</v>
      </c>
      <c r="D813" s="515" t="s">
        <v>409</v>
      </c>
      <c r="E813" s="503" t="s">
        <v>161</v>
      </c>
      <c r="F813" s="596">
        <f>+Mejoramientos!K407</f>
        <v>75.8</v>
      </c>
      <c r="H813" s="360"/>
      <c r="I813" s="360"/>
      <c r="J813" s="379"/>
    </row>
    <row r="814" spans="2:10" ht="28.5" hidden="1" customHeight="1">
      <c r="B814" s="583"/>
      <c r="C814" s="502" t="s">
        <v>982</v>
      </c>
      <c r="D814" s="515" t="s">
        <v>162</v>
      </c>
      <c r="E814" s="503" t="s">
        <v>161</v>
      </c>
      <c r="F814" s="596">
        <f>+Mejoramientos!K408</f>
        <v>75.8</v>
      </c>
      <c r="H814" s="360"/>
      <c r="I814" s="360"/>
      <c r="J814" s="379"/>
    </row>
    <row r="815" spans="2:10" ht="28.5" hidden="1" customHeight="1">
      <c r="B815" s="583"/>
      <c r="C815" s="502" t="s">
        <v>983</v>
      </c>
      <c r="D815" s="515" t="s">
        <v>160</v>
      </c>
      <c r="E815" s="503" t="s">
        <v>161</v>
      </c>
      <c r="F815" s="596">
        <f>+Mejoramientos!K409</f>
        <v>37.9</v>
      </c>
      <c r="H815" s="360"/>
      <c r="I815" s="360"/>
      <c r="J815" s="379"/>
    </row>
    <row r="816" spans="2:10" ht="28.5" hidden="1" customHeight="1">
      <c r="B816" s="583"/>
      <c r="C816" s="502" t="s">
        <v>1306</v>
      </c>
      <c r="D816" s="515" t="s">
        <v>986</v>
      </c>
      <c r="E816" s="503" t="s">
        <v>161</v>
      </c>
      <c r="F816" s="596">
        <f>+Mejoramientos!K410</f>
        <v>37.9</v>
      </c>
      <c r="H816" s="360"/>
      <c r="I816" s="360"/>
      <c r="J816" s="379"/>
    </row>
    <row r="817" spans="2:10" ht="28.5" hidden="1" customHeight="1">
      <c r="B817" s="583"/>
      <c r="C817" s="502" t="s">
        <v>1307</v>
      </c>
      <c r="D817" s="515" t="s">
        <v>167</v>
      </c>
      <c r="E817" s="503" t="s">
        <v>161</v>
      </c>
      <c r="F817" s="596">
        <f>+Mejoramientos!K411</f>
        <v>37.9</v>
      </c>
      <c r="H817" s="360"/>
      <c r="I817" s="360"/>
      <c r="J817" s="379"/>
    </row>
    <row r="818" spans="2:10" ht="28.5" hidden="1" customHeight="1">
      <c r="B818" s="583"/>
      <c r="C818" s="502" t="s">
        <v>1308</v>
      </c>
      <c r="D818" s="515" t="s">
        <v>926</v>
      </c>
      <c r="E818" s="503" t="s">
        <v>161</v>
      </c>
      <c r="F818" s="596">
        <f>+Mejoramientos!K412</f>
        <v>37.9</v>
      </c>
      <c r="H818" s="360"/>
      <c r="I818" s="360"/>
      <c r="J818" s="379"/>
    </row>
    <row r="819" spans="2:10" ht="28.5" hidden="1" customHeight="1">
      <c r="B819" s="583"/>
      <c r="C819" s="502" t="s">
        <v>1309</v>
      </c>
      <c r="D819" s="515" t="s">
        <v>168</v>
      </c>
      <c r="E819" s="503" t="s">
        <v>161</v>
      </c>
      <c r="F819" s="596">
        <f>+Mejoramientos!K413</f>
        <v>37.9</v>
      </c>
      <c r="H819" s="360"/>
      <c r="I819" s="360"/>
      <c r="J819" s="379"/>
    </row>
    <row r="820" spans="2:10" ht="28.5" hidden="1" customHeight="1">
      <c r="B820" s="583"/>
      <c r="C820" s="508" t="s">
        <v>984</v>
      </c>
      <c r="D820" s="604" t="s">
        <v>783</v>
      </c>
      <c r="E820" s="509" t="s">
        <v>156</v>
      </c>
      <c r="F820" s="596">
        <f>+Mejoramientos!K414</f>
        <v>0</v>
      </c>
      <c r="H820" s="360"/>
      <c r="I820" s="360"/>
      <c r="J820" s="379"/>
    </row>
    <row r="821" spans="2:10" ht="28.5" hidden="1" customHeight="1">
      <c r="B821" s="583"/>
      <c r="C821" s="502" t="s">
        <v>985</v>
      </c>
      <c r="D821" s="515" t="s">
        <v>990</v>
      </c>
      <c r="E821" s="503" t="s">
        <v>161</v>
      </c>
      <c r="F821" s="596">
        <f>+Mejoramientos!K415</f>
        <v>37.9</v>
      </c>
      <c r="H821" s="360"/>
      <c r="I821" s="360"/>
      <c r="J821" s="379"/>
    </row>
    <row r="822" spans="2:10" ht="28.5" hidden="1" customHeight="1">
      <c r="B822" s="583"/>
      <c r="C822" s="502" t="s">
        <v>987</v>
      </c>
      <c r="D822" s="515" t="s">
        <v>991</v>
      </c>
      <c r="E822" s="503" t="s">
        <v>161</v>
      </c>
      <c r="F822" s="596">
        <f>+Mejoramientos!K416</f>
        <v>37.9</v>
      </c>
      <c r="H822" s="360"/>
      <c r="I822" s="360"/>
      <c r="J822" s="379"/>
    </row>
    <row r="823" spans="2:10" ht="28.5" hidden="1" customHeight="1">
      <c r="B823" s="583"/>
      <c r="C823" s="502" t="s">
        <v>988</v>
      </c>
      <c r="D823" s="515" t="s">
        <v>992</v>
      </c>
      <c r="E823" s="503" t="s">
        <v>161</v>
      </c>
      <c r="F823" s="596">
        <f>+Mejoramientos!K417</f>
        <v>37.9</v>
      </c>
      <c r="H823" s="360"/>
      <c r="I823" s="360"/>
      <c r="J823" s="379"/>
    </row>
    <row r="824" spans="2:10" ht="28.5" hidden="1" customHeight="1">
      <c r="B824" s="583"/>
      <c r="C824" s="502" t="s">
        <v>989</v>
      </c>
      <c r="D824" s="515" t="s">
        <v>993</v>
      </c>
      <c r="E824" s="503" t="s">
        <v>161</v>
      </c>
      <c r="F824" s="596">
        <f>+Mejoramientos!K418</f>
        <v>37.9</v>
      </c>
      <c r="H824" s="362"/>
      <c r="I824" s="360"/>
      <c r="J824" s="379"/>
    </row>
    <row r="825" spans="2:10" ht="28.5" hidden="1" customHeight="1">
      <c r="B825" s="583"/>
      <c r="C825" s="502" t="s">
        <v>1310</v>
      </c>
      <c r="D825" s="515" t="s">
        <v>939</v>
      </c>
      <c r="E825" s="503" t="s">
        <v>163</v>
      </c>
      <c r="F825" s="596">
        <f>+Mejoramientos!K419</f>
        <v>3</v>
      </c>
      <c r="H825" s="360"/>
      <c r="I825" s="360"/>
      <c r="J825" s="379"/>
    </row>
    <row r="826" spans="2:10" ht="28.5" hidden="1" customHeight="1">
      <c r="B826" s="583"/>
      <c r="C826" s="502" t="s">
        <v>1311</v>
      </c>
      <c r="D826" s="515" t="s">
        <v>940</v>
      </c>
      <c r="E826" s="503" t="s">
        <v>163</v>
      </c>
      <c r="F826" s="596">
        <f>+Mejoramientos!K420</f>
        <v>1</v>
      </c>
      <c r="H826" s="360"/>
      <c r="I826" s="360"/>
      <c r="J826" s="379"/>
    </row>
    <row r="827" spans="2:10" ht="28.5" hidden="1" customHeight="1">
      <c r="B827" s="583"/>
      <c r="C827" s="502" t="s">
        <v>1312</v>
      </c>
      <c r="D827" s="515" t="s">
        <v>994</v>
      </c>
      <c r="E827" s="503" t="s">
        <v>163</v>
      </c>
      <c r="F827" s="596">
        <f>+Mejoramientos!K421</f>
        <v>1</v>
      </c>
      <c r="H827" s="360"/>
      <c r="I827" s="360"/>
      <c r="J827" s="379"/>
    </row>
    <row r="828" spans="2:10" ht="28.5" hidden="1" customHeight="1">
      <c r="B828" s="585"/>
      <c r="C828" s="502" t="s">
        <v>1313</v>
      </c>
      <c r="D828" s="587" t="s">
        <v>952</v>
      </c>
      <c r="E828" s="503" t="s">
        <v>163</v>
      </c>
      <c r="F828" s="596">
        <f>+Mejoramientos!K422</f>
        <v>1</v>
      </c>
      <c r="H828" s="360"/>
      <c r="I828" s="360"/>
      <c r="J828" s="379"/>
    </row>
    <row r="829" spans="2:10" ht="28.5" hidden="1" customHeight="1">
      <c r="B829" s="586"/>
      <c r="C829" s="502" t="s">
        <v>1314</v>
      </c>
      <c r="D829" s="515" t="s">
        <v>995</v>
      </c>
      <c r="E829" s="503" t="s">
        <v>163</v>
      </c>
      <c r="F829" s="596">
        <f>+Mejoramientos!K423</f>
        <v>1</v>
      </c>
      <c r="H829" s="360"/>
      <c r="I829" s="360"/>
      <c r="J829" s="379"/>
    </row>
    <row r="830" spans="2:10" ht="28.5" hidden="1" customHeight="1">
      <c r="B830" s="583"/>
      <c r="C830" s="502" t="s">
        <v>1315</v>
      </c>
      <c r="D830" s="515" t="s">
        <v>1018</v>
      </c>
      <c r="E830" s="503" t="s">
        <v>163</v>
      </c>
      <c r="F830" s="596">
        <f>+Mejoramientos!K424</f>
        <v>2</v>
      </c>
      <c r="H830" s="360"/>
      <c r="I830" s="360"/>
      <c r="J830" s="379"/>
    </row>
    <row r="831" spans="2:10" ht="28.5" hidden="1" customHeight="1">
      <c r="B831" s="583"/>
      <c r="C831" s="502" t="s">
        <v>1316</v>
      </c>
      <c r="D831" s="515" t="s">
        <v>960</v>
      </c>
      <c r="E831" s="503" t="s">
        <v>163</v>
      </c>
      <c r="F831" s="596">
        <f>+Mejoramientos!K425</f>
        <v>9</v>
      </c>
      <c r="H831" s="360"/>
      <c r="I831" s="360"/>
      <c r="J831" s="379"/>
    </row>
    <row r="832" spans="2:10" ht="28.5" hidden="1" customHeight="1">
      <c r="B832" s="583"/>
      <c r="C832" s="502" t="s">
        <v>1317</v>
      </c>
      <c r="D832" s="515" t="s">
        <v>963</v>
      </c>
      <c r="E832" s="503" t="s">
        <v>163</v>
      </c>
      <c r="F832" s="596">
        <f>+Mejoramientos!K426</f>
        <v>9</v>
      </c>
      <c r="H832" s="360"/>
      <c r="I832" s="360"/>
      <c r="J832" s="379"/>
    </row>
    <row r="833" spans="2:10" ht="28.5" hidden="1" customHeight="1">
      <c r="B833" s="583"/>
      <c r="C833" s="502" t="s">
        <v>1318</v>
      </c>
      <c r="D833" s="515" t="s">
        <v>996</v>
      </c>
      <c r="E833" s="503" t="s">
        <v>163</v>
      </c>
      <c r="F833" s="596">
        <f>+Mejoramientos!K427</f>
        <v>1</v>
      </c>
      <c r="H833" s="360"/>
      <c r="I833" s="360"/>
      <c r="J833" s="379"/>
    </row>
    <row r="834" spans="2:10" ht="28.5" hidden="1" customHeight="1">
      <c r="B834" s="583"/>
      <c r="C834" s="502" t="s">
        <v>1319</v>
      </c>
      <c r="D834" s="515" t="s">
        <v>997</v>
      </c>
      <c r="E834" s="503" t="s">
        <v>163</v>
      </c>
      <c r="F834" s="596">
        <f>+Mejoramientos!K428</f>
        <v>1</v>
      </c>
      <c r="H834" s="360"/>
      <c r="I834" s="360"/>
      <c r="J834" s="379"/>
    </row>
    <row r="835" spans="2:10" ht="28.5" hidden="1" customHeight="1">
      <c r="B835" s="583"/>
      <c r="C835" s="506" t="s">
        <v>998</v>
      </c>
      <c r="D835" s="522" t="s">
        <v>1320</v>
      </c>
      <c r="E835" s="507" t="s">
        <v>156</v>
      </c>
      <c r="F835" s="596">
        <f>+Mejoramientos!K429</f>
        <v>0</v>
      </c>
      <c r="H835" s="360"/>
      <c r="I835" s="360"/>
      <c r="J835" s="379"/>
    </row>
    <row r="836" spans="2:10" ht="28.5" hidden="1" customHeight="1">
      <c r="B836" s="583"/>
      <c r="C836" s="508" t="s">
        <v>999</v>
      </c>
      <c r="D836" s="604" t="s">
        <v>777</v>
      </c>
      <c r="E836" s="509" t="s">
        <v>156</v>
      </c>
      <c r="F836" s="596">
        <f>+Mejoramientos!K430</f>
        <v>0</v>
      </c>
      <c r="H836" s="360"/>
      <c r="I836" s="360"/>
      <c r="J836" s="379"/>
    </row>
    <row r="837" spans="2:10" ht="28.5" hidden="1" customHeight="1">
      <c r="B837" s="583"/>
      <c r="C837" s="502" t="s">
        <v>1000</v>
      </c>
      <c r="D837" s="515" t="s">
        <v>157</v>
      </c>
      <c r="E837" s="503" t="s">
        <v>158</v>
      </c>
      <c r="F837" s="596">
        <f>+Mejoramientos!K431</f>
        <v>1.491E-2</v>
      </c>
      <c r="H837" s="361"/>
      <c r="I837" s="360"/>
      <c r="J837" s="379"/>
    </row>
    <row r="838" spans="2:10" ht="28.5" hidden="1" customHeight="1">
      <c r="B838" s="583"/>
      <c r="C838" s="502" t="s">
        <v>1001</v>
      </c>
      <c r="D838" s="515" t="s">
        <v>159</v>
      </c>
      <c r="E838" s="503" t="s">
        <v>158</v>
      </c>
      <c r="F838" s="596">
        <f>+Mejoramientos!K432</f>
        <v>1.491E-2</v>
      </c>
      <c r="H838" s="362"/>
      <c r="I838" s="360"/>
      <c r="J838" s="379"/>
    </row>
    <row r="839" spans="2:10" ht="28.5" hidden="1" customHeight="1">
      <c r="B839" s="583"/>
      <c r="C839" s="502" t="s">
        <v>1002</v>
      </c>
      <c r="D839" s="515" t="s">
        <v>409</v>
      </c>
      <c r="E839" s="503" t="s">
        <v>161</v>
      </c>
      <c r="F839" s="596">
        <f>+Mejoramientos!K433</f>
        <v>29.82</v>
      </c>
      <c r="H839" s="360"/>
      <c r="I839" s="360"/>
      <c r="J839" s="379"/>
    </row>
    <row r="840" spans="2:10" ht="28.5" hidden="1" customHeight="1">
      <c r="B840" s="586"/>
      <c r="C840" s="502" t="s">
        <v>1003</v>
      </c>
      <c r="D840" s="515" t="s">
        <v>162</v>
      </c>
      <c r="E840" s="503" t="s">
        <v>161</v>
      </c>
      <c r="F840" s="596">
        <f>+Mejoramientos!K434</f>
        <v>29.82</v>
      </c>
      <c r="H840" s="360"/>
      <c r="I840" s="360"/>
      <c r="J840" s="379"/>
    </row>
    <row r="841" spans="2:10" ht="28.5" hidden="1" customHeight="1">
      <c r="B841" s="583"/>
      <c r="C841" s="502" t="s">
        <v>1004</v>
      </c>
      <c r="D841" s="515" t="s">
        <v>160</v>
      </c>
      <c r="E841" s="503" t="s">
        <v>161</v>
      </c>
      <c r="F841" s="596">
        <f>+Mejoramientos!K435</f>
        <v>14.91</v>
      </c>
      <c r="H841" s="360"/>
      <c r="I841" s="360"/>
      <c r="J841" s="379"/>
    </row>
    <row r="842" spans="2:10" ht="28.5" hidden="1" customHeight="1">
      <c r="B842" s="583"/>
      <c r="C842" s="502" t="s">
        <v>1321</v>
      </c>
      <c r="D842" s="515" t="s">
        <v>186</v>
      </c>
      <c r="E842" s="503" t="s">
        <v>161</v>
      </c>
      <c r="F842" s="596">
        <f>+Mejoramientos!K436</f>
        <v>14.91</v>
      </c>
      <c r="H842" s="360"/>
      <c r="I842" s="360"/>
      <c r="J842" s="379"/>
    </row>
    <row r="843" spans="2:10" ht="28.5" hidden="1" customHeight="1">
      <c r="B843" s="583"/>
      <c r="C843" s="502" t="s">
        <v>1322</v>
      </c>
      <c r="D843" s="515" t="s">
        <v>187</v>
      </c>
      <c r="E843" s="503" t="s">
        <v>161</v>
      </c>
      <c r="F843" s="596">
        <f>+Mejoramientos!K437</f>
        <v>14.91</v>
      </c>
      <c r="H843" s="362"/>
      <c r="I843" s="360"/>
      <c r="J843" s="379"/>
    </row>
    <row r="844" spans="2:10" ht="28.5" hidden="1" customHeight="1">
      <c r="B844" s="583"/>
      <c r="C844" s="502" t="s">
        <v>1323</v>
      </c>
      <c r="D844" s="515" t="s">
        <v>188</v>
      </c>
      <c r="E844" s="503" t="s">
        <v>161</v>
      </c>
      <c r="F844" s="596">
        <f>+Mejoramientos!K438</f>
        <v>14.91</v>
      </c>
      <c r="H844" s="360"/>
      <c r="I844" s="360"/>
      <c r="J844" s="379"/>
    </row>
    <row r="845" spans="2:10" ht="28.5" hidden="1" customHeight="1">
      <c r="B845" s="583"/>
      <c r="C845" s="502" t="s">
        <v>1324</v>
      </c>
      <c r="D845" s="515" t="s">
        <v>189</v>
      </c>
      <c r="E845" s="503" t="s">
        <v>161</v>
      </c>
      <c r="F845" s="596">
        <f>+Mejoramientos!K439</f>
        <v>14.91</v>
      </c>
      <c r="H845" s="360"/>
      <c r="I845" s="360"/>
      <c r="J845" s="379"/>
    </row>
    <row r="846" spans="2:10" ht="28.5" hidden="1" customHeight="1">
      <c r="B846" s="583"/>
      <c r="C846" s="502" t="s">
        <v>1325</v>
      </c>
      <c r="D846" s="587" t="s">
        <v>1326</v>
      </c>
      <c r="E846" s="503" t="s">
        <v>163</v>
      </c>
      <c r="F846" s="596">
        <f>+Mejoramientos!K440</f>
        <v>1</v>
      </c>
      <c r="H846" s="360"/>
      <c r="I846" s="360"/>
      <c r="J846" s="379"/>
    </row>
    <row r="847" spans="2:10" ht="28.5" hidden="1" customHeight="1">
      <c r="B847" s="583"/>
      <c r="C847" s="508" t="s">
        <v>1005</v>
      </c>
      <c r="D847" s="604" t="s">
        <v>783</v>
      </c>
      <c r="E847" s="509" t="s">
        <v>156</v>
      </c>
      <c r="F847" s="596">
        <f>+Mejoramientos!K441</f>
        <v>0</v>
      </c>
      <c r="H847" s="360"/>
      <c r="I847" s="360"/>
      <c r="J847" s="379"/>
    </row>
    <row r="848" spans="2:10" ht="28.5" hidden="1" customHeight="1">
      <c r="B848" s="583"/>
      <c r="C848" s="502" t="s">
        <v>1006</v>
      </c>
      <c r="D848" s="515" t="s">
        <v>990</v>
      </c>
      <c r="E848" s="503" t="s">
        <v>161</v>
      </c>
      <c r="F848" s="596">
        <f>+Mejoramientos!K442</f>
        <v>14.91</v>
      </c>
      <c r="H848" s="362"/>
      <c r="I848" s="360"/>
      <c r="J848" s="379"/>
    </row>
    <row r="849" spans="2:10" ht="28.5" hidden="1" customHeight="1">
      <c r="B849" s="583"/>
      <c r="C849" s="502" t="s">
        <v>1007</v>
      </c>
      <c r="D849" s="515" t="s">
        <v>991</v>
      </c>
      <c r="E849" s="503" t="s">
        <v>161</v>
      </c>
      <c r="F849" s="596">
        <f>+Mejoramientos!K443</f>
        <v>14.91</v>
      </c>
      <c r="H849" s="360"/>
      <c r="I849" s="360"/>
      <c r="J849" s="379"/>
    </row>
    <row r="850" spans="2:10" ht="28.5" hidden="1" customHeight="1">
      <c r="B850" s="583"/>
      <c r="C850" s="502" t="s">
        <v>1008</v>
      </c>
      <c r="D850" s="515" t="s">
        <v>992</v>
      </c>
      <c r="E850" s="503" t="s">
        <v>161</v>
      </c>
      <c r="F850" s="596">
        <f>+Mejoramientos!K444</f>
        <v>14.91</v>
      </c>
      <c r="H850" s="360"/>
      <c r="I850" s="360"/>
      <c r="J850" s="379"/>
    </row>
    <row r="851" spans="2:10" ht="28.5" hidden="1" customHeight="1">
      <c r="B851" s="583"/>
      <c r="C851" s="502" t="s">
        <v>1009</v>
      </c>
      <c r="D851" s="515" t="s">
        <v>993</v>
      </c>
      <c r="E851" s="503" t="s">
        <v>161</v>
      </c>
      <c r="F851" s="596">
        <f>+Mejoramientos!K445</f>
        <v>14.91</v>
      </c>
      <c r="H851" s="360"/>
      <c r="I851" s="360"/>
      <c r="J851" s="379"/>
    </row>
    <row r="852" spans="2:10" ht="28.5" hidden="1" customHeight="1">
      <c r="B852" s="583"/>
      <c r="C852" s="502" t="s">
        <v>1327</v>
      </c>
      <c r="D852" s="515" t="s">
        <v>1010</v>
      </c>
      <c r="E852" s="503" t="s">
        <v>163</v>
      </c>
      <c r="F852" s="596">
        <f>+Mejoramientos!K446</f>
        <v>1</v>
      </c>
      <c r="H852" s="360"/>
      <c r="I852" s="360"/>
      <c r="J852" s="379"/>
    </row>
    <row r="853" spans="2:10" ht="28.5" hidden="1" customHeight="1">
      <c r="B853" s="583"/>
      <c r="C853" s="502" t="s">
        <v>1328</v>
      </c>
      <c r="D853" s="515" t="s">
        <v>939</v>
      </c>
      <c r="E853" s="503" t="s">
        <v>163</v>
      </c>
      <c r="F853" s="596">
        <f>+Mejoramientos!K447</f>
        <v>1</v>
      </c>
      <c r="H853" s="361"/>
      <c r="I853" s="360"/>
      <c r="J853" s="379"/>
    </row>
    <row r="854" spans="2:10" ht="28.5" hidden="1" customHeight="1">
      <c r="B854" s="583"/>
      <c r="C854" s="502" t="s">
        <v>1329</v>
      </c>
      <c r="D854" s="587" t="s">
        <v>952</v>
      </c>
      <c r="E854" s="503" t="s">
        <v>163</v>
      </c>
      <c r="F854" s="596">
        <f>+Mejoramientos!K448</f>
        <v>1</v>
      </c>
      <c r="H854" s="360"/>
      <c r="I854" s="360"/>
      <c r="J854" s="379"/>
    </row>
    <row r="855" spans="2:10" ht="28.5" hidden="1" customHeight="1">
      <c r="B855" s="583"/>
      <c r="C855" s="502" t="s">
        <v>1330</v>
      </c>
      <c r="D855" s="587" t="s">
        <v>950</v>
      </c>
      <c r="E855" s="503" t="s">
        <v>163</v>
      </c>
      <c r="F855" s="596">
        <f>+Mejoramientos!K449</f>
        <v>1</v>
      </c>
      <c r="H855" s="360"/>
      <c r="I855" s="360"/>
      <c r="J855" s="379"/>
    </row>
    <row r="856" spans="2:10" ht="28.5" hidden="1" customHeight="1">
      <c r="B856" s="583"/>
      <c r="C856" s="502" t="s">
        <v>1331</v>
      </c>
      <c r="D856" s="515" t="s">
        <v>995</v>
      </c>
      <c r="E856" s="503" t="s">
        <v>163</v>
      </c>
      <c r="F856" s="596">
        <f>+Mejoramientos!K450</f>
        <v>1</v>
      </c>
      <c r="H856" s="360"/>
      <c r="I856" s="360"/>
      <c r="J856" s="379"/>
    </row>
    <row r="857" spans="2:10" ht="28.5" hidden="1" customHeight="1">
      <c r="B857" s="583"/>
      <c r="C857" s="502" t="s">
        <v>1332</v>
      </c>
      <c r="D857" s="587" t="s">
        <v>1018</v>
      </c>
      <c r="E857" s="503" t="s">
        <v>163</v>
      </c>
      <c r="F857" s="596">
        <f>+Mejoramientos!K451</f>
        <v>2</v>
      </c>
      <c r="H857" s="360"/>
      <c r="I857" s="360"/>
      <c r="J857" s="379"/>
    </row>
    <row r="858" spans="2:10" ht="28.5" hidden="1" customHeight="1">
      <c r="B858" s="583"/>
      <c r="C858" s="502" t="s">
        <v>1333</v>
      </c>
      <c r="D858" s="515" t="s">
        <v>960</v>
      </c>
      <c r="E858" s="503" t="s">
        <v>163</v>
      </c>
      <c r="F858" s="596">
        <f>+Mejoramientos!K452</f>
        <v>7</v>
      </c>
      <c r="H858" s="360"/>
      <c r="I858" s="360"/>
      <c r="J858" s="379"/>
    </row>
    <row r="859" spans="2:10" ht="28.5" hidden="1" customHeight="1">
      <c r="B859" s="585"/>
      <c r="C859" s="502" t="s">
        <v>1334</v>
      </c>
      <c r="D859" s="515" t="s">
        <v>963</v>
      </c>
      <c r="E859" s="503" t="s">
        <v>163</v>
      </c>
      <c r="F859" s="596">
        <f>+Mejoramientos!K453</f>
        <v>7</v>
      </c>
      <c r="H859" s="360"/>
      <c r="I859" s="360"/>
      <c r="J859" s="379"/>
    </row>
    <row r="860" spans="2:10" ht="28.5" hidden="1" customHeight="1">
      <c r="B860" s="583"/>
      <c r="C860" s="502" t="s">
        <v>1335</v>
      </c>
      <c r="D860" s="515" t="s">
        <v>996</v>
      </c>
      <c r="E860" s="503" t="s">
        <v>163</v>
      </c>
      <c r="F860" s="596">
        <f>+Mejoramientos!K454</f>
        <v>1</v>
      </c>
      <c r="H860" s="360"/>
      <c r="I860" s="360"/>
      <c r="J860" s="379"/>
    </row>
    <row r="861" spans="2:10" ht="28.5" hidden="1" customHeight="1">
      <c r="B861" s="583"/>
      <c r="C861" s="502" t="s">
        <v>1336</v>
      </c>
      <c r="D861" s="515" t="s">
        <v>997</v>
      </c>
      <c r="E861" s="503" t="s">
        <v>163</v>
      </c>
      <c r="F861" s="596">
        <f>+Mejoramientos!K455</f>
        <v>1</v>
      </c>
      <c r="H861" s="360"/>
      <c r="I861" s="360"/>
      <c r="J861" s="379"/>
    </row>
    <row r="862" spans="2:10" ht="28.5" hidden="1" customHeight="1">
      <c r="B862" s="583"/>
      <c r="C862" s="502" t="s">
        <v>1337</v>
      </c>
      <c r="D862" s="515" t="s">
        <v>1011</v>
      </c>
      <c r="E862" s="503" t="s">
        <v>163</v>
      </c>
      <c r="F862" s="596">
        <f>+Mejoramientos!K456</f>
        <v>3</v>
      </c>
      <c r="H862" s="360"/>
      <c r="I862" s="360"/>
      <c r="J862" s="379"/>
    </row>
    <row r="863" spans="2:10" ht="28.5" hidden="1" customHeight="1">
      <c r="B863" s="583"/>
      <c r="C863" s="502" t="s">
        <v>1338</v>
      </c>
      <c r="D863" s="515" t="s">
        <v>836</v>
      </c>
      <c r="E863" s="503" t="s">
        <v>163</v>
      </c>
      <c r="F863" s="596">
        <f>+Mejoramientos!K457</f>
        <v>2</v>
      </c>
      <c r="H863" s="360"/>
      <c r="I863" s="360"/>
      <c r="J863" s="379"/>
    </row>
    <row r="864" spans="2:10" ht="28.5" hidden="1" customHeight="1">
      <c r="B864" s="583"/>
      <c r="C864" s="502" t="s">
        <v>1339</v>
      </c>
      <c r="D864" s="515" t="s">
        <v>1012</v>
      </c>
      <c r="E864" s="503" t="s">
        <v>163</v>
      </c>
      <c r="F864" s="596">
        <f>+Mejoramientos!K458</f>
        <v>24</v>
      </c>
      <c r="H864" s="361"/>
      <c r="I864" s="360"/>
      <c r="J864" s="379"/>
    </row>
    <row r="865" spans="2:10" ht="28.5" hidden="1" customHeight="1">
      <c r="B865" s="583"/>
      <c r="C865" s="502" t="s">
        <v>1340</v>
      </c>
      <c r="D865" s="515" t="s">
        <v>838</v>
      </c>
      <c r="E865" s="503" t="s">
        <v>163</v>
      </c>
      <c r="F865" s="596">
        <f>+Mejoramientos!K459</f>
        <v>16</v>
      </c>
      <c r="H865" s="360"/>
      <c r="I865" s="360"/>
      <c r="J865" s="379"/>
    </row>
    <row r="866" spans="2:10" ht="28.5" hidden="1" customHeight="1">
      <c r="B866" s="583"/>
      <c r="C866" s="506" t="s">
        <v>1013</v>
      </c>
      <c r="D866" s="522" t="s">
        <v>1341</v>
      </c>
      <c r="E866" s="507" t="s">
        <v>156</v>
      </c>
      <c r="F866" s="596">
        <f>+Mejoramientos!K460</f>
        <v>0</v>
      </c>
      <c r="H866" s="360"/>
      <c r="I866" s="360"/>
      <c r="J866" s="379"/>
    </row>
    <row r="867" spans="2:10" ht="28.5" hidden="1" customHeight="1">
      <c r="B867" s="583"/>
      <c r="C867" s="502" t="s">
        <v>1014</v>
      </c>
      <c r="D867" s="515" t="s">
        <v>879</v>
      </c>
      <c r="E867" s="503" t="s">
        <v>163</v>
      </c>
      <c r="F867" s="596">
        <f>+Mejoramientos!K461</f>
        <v>1</v>
      </c>
      <c r="H867" s="361"/>
      <c r="I867" s="360"/>
      <c r="J867" s="379"/>
    </row>
    <row r="868" spans="2:10" ht="28.5" hidden="1" customHeight="1">
      <c r="B868" s="583"/>
      <c r="C868" s="502" t="s">
        <v>1015</v>
      </c>
      <c r="D868" s="515" t="s">
        <v>807</v>
      </c>
      <c r="E868" s="503" t="s">
        <v>133</v>
      </c>
      <c r="F868" s="596">
        <f>+Mejoramientos!K462</f>
        <v>2.4</v>
      </c>
      <c r="H868" s="360"/>
      <c r="I868" s="360"/>
      <c r="J868" s="379"/>
    </row>
    <row r="869" spans="2:10" ht="28.5" hidden="1" customHeight="1">
      <c r="B869" s="583"/>
      <c r="C869" s="502" t="s">
        <v>1342</v>
      </c>
      <c r="D869" s="515" t="s">
        <v>935</v>
      </c>
      <c r="E869" s="503" t="s">
        <v>161</v>
      </c>
      <c r="F869" s="596">
        <f>+Mejoramientos!K463</f>
        <v>8.25</v>
      </c>
      <c r="H869" s="360"/>
      <c r="I869" s="360"/>
      <c r="J869" s="379"/>
    </row>
    <row r="870" spans="2:10" ht="28.5" hidden="1" customHeight="1">
      <c r="B870" s="583"/>
      <c r="C870" s="502" t="s">
        <v>1343</v>
      </c>
      <c r="D870" s="515" t="s">
        <v>1016</v>
      </c>
      <c r="E870" s="503" t="s">
        <v>163</v>
      </c>
      <c r="F870" s="596">
        <f>+Mejoramientos!K464</f>
        <v>2</v>
      </c>
      <c r="H870" s="360"/>
      <c r="I870" s="360"/>
      <c r="J870" s="379"/>
    </row>
    <row r="871" spans="2:10" ht="28.5" hidden="1" customHeight="1">
      <c r="B871" s="583"/>
      <c r="C871" s="502" t="s">
        <v>1344</v>
      </c>
      <c r="D871" s="515" t="s">
        <v>1017</v>
      </c>
      <c r="E871" s="503" t="s">
        <v>163</v>
      </c>
      <c r="F871" s="596">
        <f>+Mejoramientos!K465</f>
        <v>1</v>
      </c>
      <c r="H871" s="360"/>
      <c r="I871" s="360"/>
      <c r="J871" s="379"/>
    </row>
    <row r="872" spans="2:10" ht="28.5" hidden="1" customHeight="1">
      <c r="B872" s="584"/>
      <c r="C872" s="502" t="s">
        <v>1345</v>
      </c>
      <c r="D872" s="515" t="s">
        <v>1018</v>
      </c>
      <c r="E872" s="503" t="s">
        <v>163</v>
      </c>
      <c r="F872" s="596">
        <f>+Mejoramientos!K466</f>
        <v>1</v>
      </c>
    </row>
    <row r="873" spans="2:10" ht="28.5" hidden="1" customHeight="1">
      <c r="B873" s="585"/>
      <c r="C873" s="502" t="s">
        <v>1346</v>
      </c>
      <c r="D873" s="515" t="s">
        <v>1019</v>
      </c>
      <c r="E873" s="503" t="s">
        <v>163</v>
      </c>
      <c r="F873" s="596">
        <f>+Mejoramientos!K467</f>
        <v>9</v>
      </c>
    </row>
    <row r="874" spans="2:10" ht="28.5" hidden="1" customHeight="1">
      <c r="B874" s="583"/>
      <c r="C874" s="502" t="s">
        <v>1347</v>
      </c>
      <c r="D874" s="515" t="s">
        <v>1020</v>
      </c>
      <c r="E874" s="503" t="s">
        <v>163</v>
      </c>
      <c r="F874" s="596">
        <f>+Mejoramientos!K468</f>
        <v>1</v>
      </c>
    </row>
    <row r="875" spans="2:10" ht="28.5" hidden="1" customHeight="1">
      <c r="B875" s="583"/>
      <c r="C875" s="502" t="s">
        <v>1348</v>
      </c>
      <c r="D875" s="515" t="s">
        <v>1011</v>
      </c>
      <c r="E875" s="503" t="s">
        <v>163</v>
      </c>
      <c r="F875" s="596">
        <f>+Mejoramientos!K469</f>
        <v>8</v>
      </c>
    </row>
    <row r="876" spans="2:10" ht="28.5" hidden="1" customHeight="1">
      <c r="B876" s="583"/>
      <c r="C876" s="502" t="s">
        <v>1349</v>
      </c>
      <c r="D876" s="515" t="s">
        <v>1012</v>
      </c>
      <c r="E876" s="503" t="s">
        <v>163</v>
      </c>
      <c r="F876" s="596">
        <f>+Mejoramientos!K470</f>
        <v>96</v>
      </c>
    </row>
    <row r="877" spans="2:10" ht="28.5" hidden="1" customHeight="1">
      <c r="B877" s="583"/>
      <c r="C877" s="502" t="s">
        <v>1350</v>
      </c>
      <c r="D877" s="515" t="s">
        <v>1021</v>
      </c>
      <c r="E877" s="503" t="s">
        <v>163</v>
      </c>
      <c r="F877" s="596">
        <f>+Mejoramientos!K471</f>
        <v>2</v>
      </c>
    </row>
    <row r="878" spans="2:10" ht="28.5" hidden="1" customHeight="1">
      <c r="B878" s="585"/>
      <c r="C878" s="502" t="s">
        <v>1351</v>
      </c>
      <c r="D878" s="515" t="s">
        <v>1022</v>
      </c>
      <c r="E878" s="503" t="s">
        <v>163</v>
      </c>
      <c r="F878" s="596">
        <f>+Mejoramientos!K472</f>
        <v>1</v>
      </c>
    </row>
    <row r="879" spans="2:10" ht="28.5" hidden="1" customHeight="1">
      <c r="B879" s="583"/>
      <c r="C879" s="504" t="s">
        <v>600</v>
      </c>
      <c r="D879" s="521" t="s">
        <v>238</v>
      </c>
      <c r="E879" s="505" t="s">
        <v>156</v>
      </c>
      <c r="F879" s="597"/>
    </row>
    <row r="880" spans="2:10" ht="28.5" hidden="1" customHeight="1">
      <c r="B880" s="583"/>
      <c r="C880" s="506" t="s">
        <v>601</v>
      </c>
      <c r="D880" s="522" t="s">
        <v>1023</v>
      </c>
      <c r="E880" s="507" t="s">
        <v>156</v>
      </c>
      <c r="F880" s="598"/>
    </row>
    <row r="881" spans="2:6" ht="28.5" hidden="1" customHeight="1">
      <c r="B881" s="583"/>
      <c r="C881" s="502" t="s">
        <v>603</v>
      </c>
      <c r="D881" s="515" t="s">
        <v>620</v>
      </c>
      <c r="E881" s="503" t="s">
        <v>163</v>
      </c>
      <c r="F881" s="596">
        <f>+'F-5'!U53</f>
        <v>1</v>
      </c>
    </row>
    <row r="882" spans="2:6" ht="28.5" hidden="1" customHeight="1">
      <c r="B882" s="583"/>
      <c r="C882" s="502" t="s">
        <v>605</v>
      </c>
      <c r="D882" s="515" t="s">
        <v>622</v>
      </c>
      <c r="E882" s="503" t="s">
        <v>163</v>
      </c>
      <c r="F882" s="596">
        <f>+F881</f>
        <v>1</v>
      </c>
    </row>
    <row r="883" spans="2:6" ht="28.5" hidden="1" customHeight="1">
      <c r="B883" s="585"/>
      <c r="C883" s="502" t="s">
        <v>607</v>
      </c>
      <c r="D883" s="515" t="s">
        <v>624</v>
      </c>
      <c r="E883" s="503" t="s">
        <v>163</v>
      </c>
      <c r="F883" s="596">
        <f>+F882</f>
        <v>1</v>
      </c>
    </row>
    <row r="884" spans="2:6" ht="28.5" hidden="1" customHeight="1">
      <c r="B884" s="583"/>
      <c r="C884" s="502" t="s">
        <v>609</v>
      </c>
      <c r="D884" s="515" t="s">
        <v>626</v>
      </c>
      <c r="E884" s="503" t="s">
        <v>163</v>
      </c>
      <c r="F884" s="596">
        <f>+F883</f>
        <v>1</v>
      </c>
    </row>
    <row r="885" spans="2:6" ht="28.5" hidden="1" customHeight="1">
      <c r="B885" s="583"/>
      <c r="C885" s="506" t="s">
        <v>610</v>
      </c>
      <c r="D885" s="522" t="s">
        <v>1024</v>
      </c>
      <c r="E885" s="507" t="s">
        <v>156</v>
      </c>
      <c r="F885" s="598"/>
    </row>
    <row r="886" spans="2:6" ht="28.5" hidden="1" customHeight="1">
      <c r="B886" s="583"/>
      <c r="C886" s="502" t="s">
        <v>612</v>
      </c>
      <c r="D886" s="515" t="s">
        <v>620</v>
      </c>
      <c r="E886" s="503" t="s">
        <v>163</v>
      </c>
      <c r="F886" s="596">
        <f>+'F-5'!U54</f>
        <v>1</v>
      </c>
    </row>
    <row r="887" spans="2:6" ht="28.5" hidden="1" customHeight="1">
      <c r="B887" s="583"/>
      <c r="C887" s="502" t="s">
        <v>614</v>
      </c>
      <c r="D887" s="515" t="s">
        <v>622</v>
      </c>
      <c r="E887" s="503" t="s">
        <v>163</v>
      </c>
      <c r="F887" s="596">
        <f>+F886</f>
        <v>1</v>
      </c>
    </row>
    <row r="888" spans="2:6" ht="28.5" hidden="1" customHeight="1">
      <c r="B888" s="584"/>
      <c r="C888" s="502" t="s">
        <v>615</v>
      </c>
      <c r="D888" s="515" t="s">
        <v>624</v>
      </c>
      <c r="E888" s="503" t="s">
        <v>163</v>
      </c>
      <c r="F888" s="596">
        <f>+F887</f>
        <v>1</v>
      </c>
    </row>
    <row r="889" spans="2:6" ht="28.5" hidden="1" customHeight="1">
      <c r="B889" s="583"/>
      <c r="C889" s="502" t="s">
        <v>616</v>
      </c>
      <c r="D889" s="515" t="s">
        <v>626</v>
      </c>
      <c r="E889" s="503" t="s">
        <v>163</v>
      </c>
      <c r="F889" s="596">
        <f>+F888</f>
        <v>1</v>
      </c>
    </row>
    <row r="890" spans="2:6" ht="28.5" hidden="1" customHeight="1">
      <c r="B890" s="583"/>
      <c r="C890" s="506" t="s">
        <v>617</v>
      </c>
      <c r="D890" s="610" t="s">
        <v>1025</v>
      </c>
      <c r="E890" s="507" t="s">
        <v>156</v>
      </c>
      <c r="F890" s="598"/>
    </row>
    <row r="891" spans="2:6" ht="28.5" hidden="1" customHeight="1">
      <c r="B891" s="583"/>
      <c r="C891" s="502" t="s">
        <v>619</v>
      </c>
      <c r="D891" s="515" t="s">
        <v>1026</v>
      </c>
      <c r="E891" s="503" t="s">
        <v>163</v>
      </c>
      <c r="F891" s="596">
        <f>+'F-5'!U55</f>
        <v>1</v>
      </c>
    </row>
    <row r="892" spans="2:6" ht="28.5" hidden="1" customHeight="1">
      <c r="B892" s="583"/>
      <c r="C892" s="502" t="s">
        <v>621</v>
      </c>
      <c r="D892" s="515" t="s">
        <v>1027</v>
      </c>
      <c r="E892" s="503" t="s">
        <v>163</v>
      </c>
      <c r="F892" s="596">
        <f>+F891</f>
        <v>1</v>
      </c>
    </row>
    <row r="893" spans="2:6" ht="28.5" hidden="1" customHeight="1">
      <c r="B893" s="583"/>
      <c r="C893" s="502" t="s">
        <v>623</v>
      </c>
      <c r="D893" s="515" t="s">
        <v>1028</v>
      </c>
      <c r="E893" s="503" t="s">
        <v>163</v>
      </c>
      <c r="F893" s="596">
        <f>+F892</f>
        <v>1</v>
      </c>
    </row>
    <row r="894" spans="2:6" ht="28.5" hidden="1" customHeight="1">
      <c r="B894" s="583"/>
      <c r="C894" s="502" t="s">
        <v>625</v>
      </c>
      <c r="D894" s="515" t="s">
        <v>1029</v>
      </c>
      <c r="E894" s="503" t="s">
        <v>163</v>
      </c>
      <c r="F894" s="596">
        <f>+F893</f>
        <v>1</v>
      </c>
    </row>
    <row r="895" spans="2:6" ht="28.5" hidden="1" customHeight="1">
      <c r="B895" s="583"/>
      <c r="C895" s="504" t="s">
        <v>644</v>
      </c>
      <c r="D895" s="521" t="s">
        <v>645</v>
      </c>
      <c r="E895" s="505" t="s">
        <v>156</v>
      </c>
      <c r="F895" s="597"/>
    </row>
    <row r="896" spans="2:6" ht="28.5" hidden="1" customHeight="1">
      <c r="B896" s="583"/>
      <c r="C896" s="502" t="s">
        <v>646</v>
      </c>
      <c r="D896" s="515" t="s">
        <v>647</v>
      </c>
      <c r="E896" s="503" t="s">
        <v>133</v>
      </c>
      <c r="F896" s="596">
        <f>+'F-5'!P47</f>
        <v>922.923</v>
      </c>
    </row>
    <row r="897" spans="2:6" ht="28.5" hidden="1" customHeight="1">
      <c r="B897" s="583"/>
      <c r="C897" s="502" t="s">
        <v>648</v>
      </c>
      <c r="D897" s="515" t="s">
        <v>177</v>
      </c>
      <c r="E897" s="503" t="s">
        <v>133</v>
      </c>
      <c r="F897" s="596">
        <f>+'F-5'!P53</f>
        <v>2609.3410000000003</v>
      </c>
    </row>
    <row r="898" spans="2:6" ht="28.5" hidden="1" customHeight="1">
      <c r="B898" s="583"/>
      <c r="C898" s="502" t="s">
        <v>650</v>
      </c>
      <c r="D898" s="515" t="s">
        <v>1030</v>
      </c>
      <c r="E898" s="503" t="s">
        <v>133</v>
      </c>
      <c r="F898" s="596">
        <f>+'F-5'!P61</f>
        <v>72</v>
      </c>
    </row>
    <row r="899" spans="2:6" ht="28.5" hidden="1" customHeight="1">
      <c r="B899" s="584"/>
      <c r="C899" s="502" t="s">
        <v>651</v>
      </c>
      <c r="D899" s="515" t="s">
        <v>649</v>
      </c>
      <c r="E899" s="503" t="s">
        <v>163</v>
      </c>
      <c r="F899" s="596">
        <f>+'F-5'!P65</f>
        <v>4</v>
      </c>
    </row>
    <row r="900" spans="2:6" ht="28.5" hidden="1" customHeight="1">
      <c r="B900" s="583"/>
      <c r="C900" s="502" t="s">
        <v>653</v>
      </c>
      <c r="D900" s="515" t="s">
        <v>1031</v>
      </c>
      <c r="E900" s="503" t="s">
        <v>133</v>
      </c>
      <c r="F900" s="596">
        <f>+'F-5'!P69</f>
        <v>40.5</v>
      </c>
    </row>
    <row r="901" spans="2:6" ht="28.5" hidden="1" customHeight="1">
      <c r="B901" s="583"/>
      <c r="C901" s="502" t="s">
        <v>655</v>
      </c>
      <c r="D901" s="515" t="s">
        <v>850</v>
      </c>
      <c r="E901" s="503" t="s">
        <v>163</v>
      </c>
      <c r="F901" s="596">
        <f>+'F-5'!P73</f>
        <v>1</v>
      </c>
    </row>
    <row r="902" spans="2:6" ht="28.5" hidden="1" customHeight="1">
      <c r="B902" s="584"/>
      <c r="C902" s="502" t="s">
        <v>657</v>
      </c>
      <c r="D902" s="515" t="s">
        <v>652</v>
      </c>
      <c r="E902" s="503" t="s">
        <v>161</v>
      </c>
      <c r="F902" s="596">
        <f>+'F-5'!P76</f>
        <v>20</v>
      </c>
    </row>
    <row r="903" spans="2:6" ht="28.5" hidden="1" customHeight="1">
      <c r="B903" s="583"/>
      <c r="C903" s="502" t="s">
        <v>659</v>
      </c>
      <c r="D903" s="515" t="s">
        <v>1032</v>
      </c>
      <c r="E903" s="503" t="s">
        <v>133</v>
      </c>
      <c r="F903" s="596">
        <f>+'F-5'!P83</f>
        <v>72</v>
      </c>
    </row>
    <row r="904" spans="2:6" ht="28.5" hidden="1" customHeight="1">
      <c r="B904" s="583"/>
      <c r="C904" s="502" t="s">
        <v>661</v>
      </c>
      <c r="D904" s="515" t="s">
        <v>658</v>
      </c>
      <c r="E904" s="503" t="s">
        <v>163</v>
      </c>
      <c r="F904" s="596">
        <f>+'F-5'!P86</f>
        <v>238</v>
      </c>
    </row>
    <row r="905" spans="2:6" ht="28.5" hidden="1" customHeight="1">
      <c r="B905" s="583"/>
      <c r="C905" s="502" t="s">
        <v>662</v>
      </c>
      <c r="D905" s="515" t="s">
        <v>257</v>
      </c>
      <c r="E905" s="503" t="s">
        <v>133</v>
      </c>
      <c r="F905" s="596">
        <f>+'F-5'!P89</f>
        <v>30</v>
      </c>
    </row>
    <row r="906" spans="2:6" ht="28.5" hidden="1" customHeight="1">
      <c r="B906" s="583"/>
      <c r="C906" s="504" t="s">
        <v>666</v>
      </c>
      <c r="D906" s="521" t="s">
        <v>172</v>
      </c>
      <c r="E906" s="505" t="s">
        <v>156</v>
      </c>
      <c r="F906" s="597"/>
    </row>
    <row r="907" spans="2:6" ht="28.5" hidden="1" customHeight="1">
      <c r="C907" s="502" t="s">
        <v>667</v>
      </c>
      <c r="D907" s="515" t="s">
        <v>1033</v>
      </c>
      <c r="E907" s="503" t="s">
        <v>163</v>
      </c>
      <c r="F907" s="596">
        <f>+'F-5'!U58</f>
        <v>1</v>
      </c>
    </row>
    <row r="908" spans="2:6" ht="28.5" hidden="1" customHeight="1">
      <c r="C908" s="502" t="s">
        <v>669</v>
      </c>
      <c r="D908" s="515" t="s">
        <v>670</v>
      </c>
      <c r="E908" s="503" t="s">
        <v>163</v>
      </c>
      <c r="F908" s="596">
        <f>+'F-5'!U59</f>
        <v>1</v>
      </c>
    </row>
    <row r="909" spans="2:6" ht="28.5" hidden="1" customHeight="1">
      <c r="C909" s="504" t="s">
        <v>675</v>
      </c>
      <c r="D909" s="521" t="s">
        <v>676</v>
      </c>
      <c r="E909" s="505" t="s">
        <v>156</v>
      </c>
      <c r="F909" s="597"/>
    </row>
    <row r="910" spans="2:6" ht="28.5" hidden="1" customHeight="1">
      <c r="C910" s="502" t="s">
        <v>677</v>
      </c>
      <c r="D910" s="515" t="s">
        <v>852</v>
      </c>
      <c r="E910" s="503" t="s">
        <v>163</v>
      </c>
      <c r="F910" s="596">
        <f>+'F-5'!U47</f>
        <v>1</v>
      </c>
    </row>
    <row r="911" spans="2:6" ht="28.5" hidden="1" customHeight="1">
      <c r="C911" s="502" t="s">
        <v>679</v>
      </c>
      <c r="D911" s="515" t="s">
        <v>1034</v>
      </c>
      <c r="E911" s="503" t="s">
        <v>163</v>
      </c>
      <c r="F911" s="596">
        <f>+'F-5'!U48</f>
        <v>1</v>
      </c>
    </row>
    <row r="912" spans="2:6" ht="28.5" hidden="1" customHeight="1">
      <c r="C912" s="502" t="s">
        <v>681</v>
      </c>
      <c r="D912" s="515" t="s">
        <v>1035</v>
      </c>
      <c r="E912" s="503" t="s">
        <v>163</v>
      </c>
      <c r="F912" s="596">
        <f>+'F-5'!U49</f>
        <v>1</v>
      </c>
    </row>
    <row r="913" spans="3:6" ht="22.5" hidden="1" customHeight="1">
      <c r="C913" s="502" t="s">
        <v>1036</v>
      </c>
      <c r="D913" s="515" t="s">
        <v>1037</v>
      </c>
      <c r="E913" s="503" t="s">
        <v>163</v>
      </c>
      <c r="F913" s="596">
        <f>+'F-5'!U50</f>
        <v>1</v>
      </c>
    </row>
    <row r="914" spans="3:6" ht="8.25" customHeight="1" thickBot="1">
      <c r="C914" s="611"/>
      <c r="D914" s="612"/>
      <c r="E914" s="613"/>
      <c r="F914" s="614"/>
    </row>
  </sheetData>
  <customSheetViews>
    <customSheetView guid="{E3668F7A-83C2-45EF-92AE-FEC5F071E70A}" showPageBreaks="1" showGridLines="0" printArea="1" view="pageBreakPreview" topLeftCell="A46">
      <selection activeCell="E19" sqref="E19"/>
      <pageMargins left="0.51181102362204722" right="0.51181102362204722" top="0.35433070866141736" bottom="0.35433070866141736" header="0.31496062992125984" footer="0.31496062992125984"/>
      <printOptions horizontalCentered="1"/>
      <pageSetup paperSize="9" scale="76" orientation="portrait" r:id="rId1"/>
    </customSheetView>
  </customSheetViews>
  <mergeCells count="5">
    <mergeCell ref="C3:F3"/>
    <mergeCell ref="D4:F4"/>
    <mergeCell ref="D5:F5"/>
    <mergeCell ref="D6:F6"/>
    <mergeCell ref="D7:F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89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474"/>
  <sheetViews>
    <sheetView showGridLines="0" showZeros="0" view="pageBreakPreview" topLeftCell="A251" zoomScaleNormal="100" zoomScaleSheetLayoutView="100" workbookViewId="0">
      <selection activeCell="D334" sqref="D334"/>
    </sheetView>
  </sheetViews>
  <sheetFormatPr baseColWidth="10" defaultColWidth="11.44140625" defaultRowHeight="14.4"/>
  <cols>
    <col min="1" max="1" width="3.6640625" style="364" customWidth="1"/>
    <col min="2" max="2" width="2" style="364" customWidth="1"/>
    <col min="3" max="3" width="15.5546875" style="364" bestFit="1" customWidth="1"/>
    <col min="4" max="4" width="44.44140625" style="516" customWidth="1"/>
    <col min="5" max="6" width="9" style="365" customWidth="1"/>
    <col min="7" max="10" width="9" style="534" customWidth="1"/>
    <col min="11" max="11" width="11.44140625" style="534"/>
    <col min="12" max="12" width="1.88671875" style="364" customWidth="1"/>
    <col min="13" max="16384" width="11.44140625" style="364"/>
  </cols>
  <sheetData>
    <row r="2" spans="3:13" ht="9.75" customHeight="1" thickBot="1"/>
    <row r="3" spans="3:13" ht="25.5" customHeight="1">
      <c r="C3" s="707" t="s">
        <v>1110</v>
      </c>
      <c r="D3" s="708"/>
      <c r="E3" s="708"/>
      <c r="F3" s="708"/>
      <c r="G3" s="708"/>
      <c r="H3" s="708"/>
      <c r="I3" s="708"/>
      <c r="J3" s="708"/>
      <c r="K3" s="709"/>
    </row>
    <row r="4" spans="3:13" ht="47.25" customHeight="1">
      <c r="C4" s="12" t="s">
        <v>123</v>
      </c>
      <c r="D4" s="590" t="s">
        <v>263</v>
      </c>
      <c r="E4" s="625"/>
      <c r="F4" s="305"/>
      <c r="G4" s="535"/>
      <c r="H4" s="535"/>
      <c r="I4" s="535"/>
      <c r="J4" s="535"/>
      <c r="K4" s="536"/>
      <c r="M4" s="366"/>
    </row>
    <row r="5" spans="3:13" ht="24.75" customHeight="1">
      <c r="C5" s="13" t="s">
        <v>131</v>
      </c>
      <c r="D5" s="517" t="s">
        <v>264</v>
      </c>
      <c r="E5" s="626"/>
      <c r="F5" s="304"/>
      <c r="G5" s="537"/>
      <c r="H5" s="537"/>
      <c r="I5" s="537"/>
      <c r="J5" s="537"/>
      <c r="K5" s="538"/>
      <c r="M5" s="366"/>
    </row>
    <row r="6" spans="3:13" ht="24.75" customHeight="1">
      <c r="C6" s="13" t="s">
        <v>125</v>
      </c>
      <c r="D6" s="517" t="s">
        <v>126</v>
      </c>
      <c r="E6" s="626"/>
      <c r="F6" s="304"/>
      <c r="G6" s="537"/>
      <c r="H6" s="537"/>
      <c r="I6" s="537"/>
      <c r="J6" s="537"/>
      <c r="K6" s="538"/>
      <c r="M6" s="366"/>
    </row>
    <row r="7" spans="3:13" ht="24.75" customHeight="1">
      <c r="C7" s="13" t="s">
        <v>127</v>
      </c>
      <c r="D7" s="517" t="s">
        <v>265</v>
      </c>
      <c r="E7" s="626"/>
      <c r="F7" s="304"/>
      <c r="G7" s="537"/>
      <c r="H7" s="537"/>
      <c r="I7" s="537"/>
      <c r="J7" s="537"/>
      <c r="K7" s="538"/>
      <c r="M7" s="366"/>
    </row>
    <row r="8" spans="3:13" ht="24.75" customHeight="1" thickBot="1">
      <c r="C8" s="14" t="s">
        <v>129</v>
      </c>
      <c r="D8" s="15" t="s">
        <v>266</v>
      </c>
      <c r="E8" s="16"/>
      <c r="F8" s="16"/>
      <c r="G8" s="539"/>
      <c r="H8" s="539"/>
      <c r="I8" s="539"/>
      <c r="J8" s="539"/>
      <c r="K8" s="540"/>
      <c r="M8" s="366"/>
    </row>
    <row r="9" spans="3:13" ht="4.5" customHeight="1" thickBot="1">
      <c r="C9" s="18"/>
      <c r="D9" s="19"/>
      <c r="E9" s="20"/>
      <c r="F9" s="20"/>
      <c r="G9" s="541"/>
      <c r="H9" s="541"/>
      <c r="I9" s="541"/>
      <c r="J9" s="541"/>
      <c r="K9" s="541"/>
    </row>
    <row r="10" spans="3:13" ht="23.25" customHeight="1">
      <c r="C10" s="160" t="s">
        <v>0</v>
      </c>
      <c r="D10" s="518" t="s">
        <v>112</v>
      </c>
      <c r="E10" s="162" t="s">
        <v>113</v>
      </c>
      <c r="F10" s="497" t="s">
        <v>1095</v>
      </c>
      <c r="G10" s="542" t="s">
        <v>336</v>
      </c>
      <c r="H10" s="542" t="s">
        <v>226</v>
      </c>
      <c r="I10" s="542" t="s">
        <v>2</v>
      </c>
      <c r="J10" s="542" t="s">
        <v>228</v>
      </c>
      <c r="K10" s="543" t="s">
        <v>1098</v>
      </c>
      <c r="L10" s="365"/>
      <c r="M10" s="380"/>
    </row>
    <row r="11" spans="3:13" ht="29.25" hidden="1" customHeight="1">
      <c r="C11" s="498" t="str">
        <f>+Resúmen!C11</f>
        <v>01</v>
      </c>
      <c r="D11" s="519" t="str">
        <f>+Resúmen!D11</f>
        <v>FRENTE 01 "CAMBIO DE LINEA DE IMPULSION DE LA CR-11 AL CR-12 Y DERRIVACION R-190"</v>
      </c>
      <c r="E11" s="499" t="s">
        <v>156</v>
      </c>
      <c r="F11" s="499"/>
      <c r="G11" s="544"/>
      <c r="H11" s="544"/>
      <c r="I11" s="544"/>
      <c r="J11" s="544"/>
      <c r="K11" s="545"/>
      <c r="L11" s="3"/>
    </row>
    <row r="12" spans="3:13" ht="29.25" hidden="1" customHeight="1">
      <c r="C12" s="500" t="str">
        <f>+Resúmen!C18</f>
        <v>01.02</v>
      </c>
      <c r="D12" s="520" t="str">
        <f>+Resúmen!D18</f>
        <v>LINEA DE IMPULSIÓN FRENTE - 01</v>
      </c>
      <c r="E12" s="501" t="s">
        <v>156</v>
      </c>
      <c r="F12" s="501"/>
      <c r="G12" s="531"/>
      <c r="H12" s="531"/>
      <c r="I12" s="531"/>
      <c r="J12" s="531"/>
      <c r="K12" s="546"/>
      <c r="L12" s="3"/>
      <c r="M12" s="379"/>
    </row>
    <row r="13" spans="3:13" ht="29.25" hidden="1" customHeight="1">
      <c r="C13" s="504" t="str">
        <f>+Resúmen!C19</f>
        <v>01.02.01</v>
      </c>
      <c r="D13" s="521" t="str">
        <f>+Resúmen!D19</f>
        <v>TRABAJOS PRELIMINARES</v>
      </c>
      <c r="E13" s="505" t="s">
        <v>156</v>
      </c>
      <c r="F13" s="505"/>
      <c r="G13" s="527"/>
      <c r="H13" s="527"/>
      <c r="I13" s="527"/>
      <c r="J13" s="527"/>
      <c r="K13" s="547"/>
      <c r="L13" s="3"/>
      <c r="M13" s="379"/>
    </row>
    <row r="14" spans="3:13" ht="29.25" hidden="1" customHeight="1">
      <c r="C14" s="502" t="str">
        <f>+Resúmen!C30</f>
        <v>01.02.01.11</v>
      </c>
      <c r="D14" s="515" t="str">
        <f>+Resúmen!D30</f>
        <v>TRANSPORTE A ZONA S/ACCESO:MAT. P/RELLENO, TUB, Y ACCESOR, P/LÍNEA DN 300 - 350 T-ROCOSO</v>
      </c>
      <c r="E14" s="503" t="str">
        <f>+Resúmen!E30</f>
        <v>M</v>
      </c>
      <c r="F14" s="503">
        <v>1</v>
      </c>
      <c r="G14" s="526">
        <f>+SUM(G15:G16)</f>
        <v>297.44</v>
      </c>
      <c r="H14" s="526"/>
      <c r="I14" s="526"/>
      <c r="J14" s="526"/>
      <c r="K14" s="548">
        <f>+PRODUCT(F14:I14)</f>
        <v>297.44</v>
      </c>
      <c r="L14" s="3"/>
      <c r="M14" s="379"/>
    </row>
    <row r="15" spans="3:13" hidden="1">
      <c r="C15" s="502"/>
      <c r="D15" s="533" t="s">
        <v>1116</v>
      </c>
      <c r="E15" s="503"/>
      <c r="F15" s="503"/>
      <c r="G15" s="526">
        <v>190.07999999999998</v>
      </c>
      <c r="H15" s="526"/>
      <c r="I15" s="526"/>
      <c r="J15" s="526"/>
      <c r="K15" s="548"/>
      <c r="L15" s="3"/>
      <c r="M15" s="379"/>
    </row>
    <row r="16" spans="3:13" hidden="1">
      <c r="C16" s="502"/>
      <c r="D16" s="533" t="s">
        <v>1117</v>
      </c>
      <c r="E16" s="503"/>
      <c r="F16" s="503"/>
      <c r="G16" s="526">
        <v>107.36000000000001</v>
      </c>
      <c r="H16" s="526"/>
      <c r="I16" s="526"/>
      <c r="J16" s="526"/>
      <c r="K16" s="548"/>
      <c r="L16" s="3"/>
      <c r="M16" s="379"/>
    </row>
    <row r="17" spans="3:13" hidden="1">
      <c r="C17" s="502"/>
      <c r="D17" s="515"/>
      <c r="E17" s="503"/>
      <c r="F17" s="503"/>
      <c r="G17" s="526"/>
      <c r="H17" s="526"/>
      <c r="I17" s="526"/>
      <c r="J17" s="526"/>
      <c r="K17" s="548"/>
      <c r="L17" s="3"/>
      <c r="M17" s="379"/>
    </row>
    <row r="18" spans="3:13" ht="29.25" hidden="1" customHeight="1">
      <c r="C18" s="502" t="str">
        <f>+Resúmen!C31</f>
        <v>01.02.01.12</v>
      </c>
      <c r="D18" s="515" t="str">
        <f>+Resúmen!D31</f>
        <v>PROTECCION DE REDES EXISTENTES DE DN 100 A 150</v>
      </c>
      <c r="E18" s="503" t="str">
        <f>+Resúmen!E31</f>
        <v>UND</v>
      </c>
      <c r="F18" s="503">
        <v>1</v>
      </c>
      <c r="G18" s="526">
        <v>13</v>
      </c>
      <c r="H18" s="526"/>
      <c r="I18" s="526"/>
      <c r="J18" s="526"/>
      <c r="K18" s="548">
        <f t="shared" ref="K18:K49" si="0">+PRODUCT(F18:I18)</f>
        <v>13</v>
      </c>
      <c r="L18" s="3"/>
      <c r="M18" s="379"/>
    </row>
    <row r="19" spans="3:13" ht="29.25" hidden="1" customHeight="1">
      <c r="C19" s="502" t="str">
        <f>+Resúmen!C32</f>
        <v>01.02.01.13</v>
      </c>
      <c r="D19" s="515" t="str">
        <f>+Resúmen!D32</f>
        <v>PROTECCION DE REDES EXISTENTES DE DN 200 A 250</v>
      </c>
      <c r="E19" s="503" t="str">
        <f>+Resúmen!E32</f>
        <v>UND</v>
      </c>
      <c r="F19" s="503">
        <v>1</v>
      </c>
      <c r="G19" s="526">
        <v>14</v>
      </c>
      <c r="H19" s="526"/>
      <c r="I19" s="526"/>
      <c r="J19" s="526"/>
      <c r="K19" s="548">
        <f t="shared" si="0"/>
        <v>14</v>
      </c>
      <c r="L19" s="3"/>
      <c r="M19" s="379"/>
    </row>
    <row r="20" spans="3:13" ht="29.25" hidden="1" customHeight="1">
      <c r="C20" s="502" t="str">
        <f>+Resúmen!C33</f>
        <v>01.02.01.14</v>
      </c>
      <c r="D20" s="515" t="str">
        <f>+Resúmen!D33</f>
        <v>PROTECCION DE REDES EXISTENTES DE DN 300 A 350</v>
      </c>
      <c r="E20" s="503" t="str">
        <f>+Resúmen!E33</f>
        <v>UND</v>
      </c>
      <c r="F20" s="503">
        <v>1</v>
      </c>
      <c r="G20" s="526">
        <v>7</v>
      </c>
      <c r="H20" s="526"/>
      <c r="I20" s="526"/>
      <c r="J20" s="526"/>
      <c r="K20" s="548">
        <f t="shared" si="0"/>
        <v>7</v>
      </c>
      <c r="L20" s="3"/>
      <c r="M20" s="379"/>
    </row>
    <row r="21" spans="3:13" ht="29.25" hidden="1" customHeight="1">
      <c r="C21" s="502" t="str">
        <f>+Resúmen!C34</f>
        <v>01.02.01.15</v>
      </c>
      <c r="D21" s="515" t="str">
        <f>+Resúmen!D34</f>
        <v>PROTECCION DE CONEXIONES DOMICILIARIAS DE AGUA POTABLE</v>
      </c>
      <c r="E21" s="503" t="str">
        <f>+Resúmen!E34</f>
        <v>UND</v>
      </c>
      <c r="F21" s="503">
        <v>1</v>
      </c>
      <c r="G21" s="526">
        <v>75</v>
      </c>
      <c r="H21" s="526"/>
      <c r="I21" s="526"/>
      <c r="J21" s="526"/>
      <c r="K21" s="548">
        <f t="shared" si="0"/>
        <v>75</v>
      </c>
      <c r="L21" s="3"/>
      <c r="M21" s="379"/>
    </row>
    <row r="22" spans="3:13" ht="29.25" hidden="1" customHeight="1">
      <c r="C22" s="502" t="str">
        <f>+Resúmen!C35</f>
        <v>01.02.01.16</v>
      </c>
      <c r="D22" s="515" t="str">
        <f>+Resúmen!D35</f>
        <v>PROTECCION DE CONEXIONES DOMICILIARIAS DE DESAGÜE</v>
      </c>
      <c r="E22" s="503" t="str">
        <f>+Resúmen!E35</f>
        <v>UND</v>
      </c>
      <c r="F22" s="503">
        <v>1</v>
      </c>
      <c r="G22" s="526">
        <v>44</v>
      </c>
      <c r="H22" s="526"/>
      <c r="I22" s="526"/>
      <c r="J22" s="526"/>
      <c r="K22" s="548">
        <f t="shared" si="0"/>
        <v>44</v>
      </c>
      <c r="L22" s="3"/>
      <c r="M22" s="379"/>
    </row>
    <row r="23" spans="3:13" ht="29.25" hidden="1" customHeight="1">
      <c r="C23" s="502" t="str">
        <f>+Resúmen!C36</f>
        <v>01.02.01.17</v>
      </c>
      <c r="D23" s="515" t="str">
        <f>+Resúmen!D36</f>
        <v>PROTECCION DE CABLE ELÉCTRICO DE MEDIA TENSIÓN</v>
      </c>
      <c r="E23" s="503" t="str">
        <f>+Resúmen!E36</f>
        <v>UND</v>
      </c>
      <c r="F23" s="503">
        <v>1</v>
      </c>
      <c r="G23" s="526">
        <v>2</v>
      </c>
      <c r="H23" s="526"/>
      <c r="I23" s="526"/>
      <c r="J23" s="526"/>
      <c r="K23" s="548">
        <f t="shared" si="0"/>
        <v>2</v>
      </c>
      <c r="L23" s="3"/>
      <c r="M23" s="379"/>
    </row>
    <row r="24" spans="3:13" ht="29.25" hidden="1" customHeight="1">
      <c r="C24" s="502" t="str">
        <f>+Resúmen!C37</f>
        <v>01.02.01.18</v>
      </c>
      <c r="D24" s="515" t="str">
        <f>+Resúmen!D37</f>
        <v>PROTECCION DE CABLES TELEFÓNICOS</v>
      </c>
      <c r="E24" s="503" t="str">
        <f>+Resúmen!E37</f>
        <v>UND</v>
      </c>
      <c r="F24" s="503">
        <v>1</v>
      </c>
      <c r="G24" s="526">
        <v>3</v>
      </c>
      <c r="H24" s="526"/>
      <c r="I24" s="526"/>
      <c r="J24" s="526"/>
      <c r="K24" s="548">
        <f t="shared" si="0"/>
        <v>3</v>
      </c>
      <c r="L24" s="3"/>
      <c r="M24" s="379"/>
    </row>
    <row r="25" spans="3:13" ht="29.25" hidden="1" customHeight="1">
      <c r="C25" s="502" t="str">
        <f>+Resúmen!C38</f>
        <v>01.02.01.19</v>
      </c>
      <c r="D25" s="515" t="str">
        <f>+Resúmen!D38</f>
        <v>PROTECCION DE POSTES PARA ALUMBRADO - TELEFONO</v>
      </c>
      <c r="E25" s="503" t="str">
        <f>+Resúmen!E38</f>
        <v>UND</v>
      </c>
      <c r="F25" s="503">
        <v>1</v>
      </c>
      <c r="G25" s="526">
        <v>39</v>
      </c>
      <c r="H25" s="526"/>
      <c r="I25" s="526"/>
      <c r="J25" s="526"/>
      <c r="K25" s="548">
        <f t="shared" si="0"/>
        <v>39</v>
      </c>
      <c r="L25" s="3"/>
      <c r="M25" s="379"/>
    </row>
    <row r="26" spans="3:13" ht="29.25" hidden="1" customHeight="1">
      <c r="C26" s="504" t="str">
        <f>+Resúmen!C96</f>
        <v>01.02.06</v>
      </c>
      <c r="D26" s="521" t="str">
        <f>+Resúmen!D96</f>
        <v>MEJORAMIENTO DE INSTALACIONES HIDRÁULICAS EN ESTRUCTURAS EXISTENTES</v>
      </c>
      <c r="E26" s="505" t="s">
        <v>156</v>
      </c>
      <c r="F26" s="505">
        <v>0</v>
      </c>
      <c r="G26" s="527"/>
      <c r="H26" s="527"/>
      <c r="I26" s="527"/>
      <c r="J26" s="527"/>
      <c r="K26" s="548">
        <f t="shared" si="0"/>
        <v>0</v>
      </c>
      <c r="L26" s="3"/>
      <c r="M26" s="379"/>
    </row>
    <row r="27" spans="3:13" ht="29.25" hidden="1" customHeight="1">
      <c r="C27" s="506" t="str">
        <f>+Resúmen!C97</f>
        <v>01.02.06.01</v>
      </c>
      <c r="D27" s="522" t="str">
        <f>+Resúmen!D97</f>
        <v>CISTERNA CR-11</v>
      </c>
      <c r="E27" s="507" t="s">
        <v>156</v>
      </c>
      <c r="F27" s="507">
        <v>0</v>
      </c>
      <c r="G27" s="528"/>
      <c r="H27" s="528"/>
      <c r="I27" s="528"/>
      <c r="J27" s="528"/>
      <c r="K27" s="548">
        <f t="shared" si="0"/>
        <v>0</v>
      </c>
      <c r="L27" s="3"/>
      <c r="M27" s="379"/>
    </row>
    <row r="28" spans="3:13" ht="29.25" hidden="1" customHeight="1">
      <c r="C28" s="502" t="str">
        <f>+Resúmen!C98</f>
        <v>01.02.06.01.01</v>
      </c>
      <c r="D28" s="515" t="str">
        <f>+Resúmen!D98</f>
        <v>CORTE, RETIRO Y CIERRE DE TUBERÍA DE IMPULSIÓN EXISTENTE.</v>
      </c>
      <c r="E28" s="503" t="str">
        <f>+Resúmen!E98</f>
        <v>UND</v>
      </c>
      <c r="F28" s="503">
        <v>1</v>
      </c>
      <c r="G28" s="526">
        <v>1</v>
      </c>
      <c r="H28" s="526"/>
      <c r="I28" s="526"/>
      <c r="J28" s="526"/>
      <c r="K28" s="548">
        <f t="shared" si="0"/>
        <v>1</v>
      </c>
      <c r="L28" s="3"/>
      <c r="M28" s="379"/>
    </row>
    <row r="29" spans="3:13" ht="29.25" hidden="1" customHeight="1">
      <c r="C29" s="502" t="str">
        <f>+Resúmen!C99</f>
        <v>01.02.06.01.02</v>
      </c>
      <c r="D29" s="515" t="str">
        <f>+Resúmen!D99</f>
        <v>TUBERÍA DE ACERO SHC-40 P/EQUIPAMIENTO DN 350 INCLUYE 1% DE DESPERDICIO</v>
      </c>
      <c r="E29" s="503" t="str">
        <f>+Resúmen!E99</f>
        <v>M</v>
      </c>
      <c r="F29" s="503">
        <v>1</v>
      </c>
      <c r="G29" s="526">
        <f>1+1</f>
        <v>2</v>
      </c>
      <c r="H29" s="526"/>
      <c r="I29" s="526"/>
      <c r="J29" s="526"/>
      <c r="K29" s="548">
        <f t="shared" si="0"/>
        <v>2</v>
      </c>
      <c r="L29" s="3"/>
      <c r="M29" s="379"/>
    </row>
    <row r="30" spans="3:13" ht="29.25" hidden="1" customHeight="1">
      <c r="C30" s="502" t="str">
        <f>+Resúmen!C100</f>
        <v>01.02.06.01.03</v>
      </c>
      <c r="D30" s="515" t="str">
        <f>+Resúmen!D100</f>
        <v>BRIDA DE ACERO PARA SOLDAR Y EMPERNAR DN 350</v>
      </c>
      <c r="E30" s="503" t="str">
        <f>+Resúmen!E100</f>
        <v>UND</v>
      </c>
      <c r="F30" s="503">
        <v>1</v>
      </c>
      <c r="G30" s="526">
        <v>2</v>
      </c>
      <c r="H30" s="526"/>
      <c r="I30" s="526"/>
      <c r="J30" s="526"/>
      <c r="K30" s="548">
        <f t="shared" si="0"/>
        <v>2</v>
      </c>
      <c r="L30" s="3"/>
      <c r="M30" s="379"/>
    </row>
    <row r="31" spans="3:13" ht="29.25" hidden="1" customHeight="1">
      <c r="C31" s="502" t="str">
        <f>+Resúmen!C101</f>
        <v>01.02.06.01.04</v>
      </c>
      <c r="D31" s="515" t="str">
        <f>+Resúmen!D101</f>
        <v>EMPAQUETADURA DE JEBE ENLONADA DN 350</v>
      </c>
      <c r="E31" s="503" t="str">
        <f>+Resúmen!E101</f>
        <v>UND</v>
      </c>
      <c r="F31" s="503">
        <v>1</v>
      </c>
      <c r="G31" s="526">
        <v>6</v>
      </c>
      <c r="H31" s="526"/>
      <c r="I31" s="526"/>
      <c r="J31" s="526"/>
      <c r="K31" s="548">
        <f t="shared" si="0"/>
        <v>6</v>
      </c>
      <c r="L31" s="3"/>
      <c r="M31" s="379"/>
    </row>
    <row r="32" spans="3:13" ht="29.25" hidden="1" customHeight="1">
      <c r="C32" s="502" t="str">
        <f>+Resúmen!C102</f>
        <v>01.02.06.01.05</v>
      </c>
      <c r="D32" s="515" t="str">
        <f>+Resúmen!D102</f>
        <v>PERNO DE ACERO INCLUYE TUERCA PARA UNIR BRIDAS DN 350</v>
      </c>
      <c r="E32" s="503" t="str">
        <f>+Resúmen!E102</f>
        <v>UND</v>
      </c>
      <c r="F32" s="503">
        <v>1</v>
      </c>
      <c r="G32" s="526">
        <f>+G31*14</f>
        <v>84</v>
      </c>
      <c r="H32" s="526"/>
      <c r="I32" s="526"/>
      <c r="J32" s="526"/>
      <c r="K32" s="548">
        <f t="shared" si="0"/>
        <v>84</v>
      </c>
      <c r="L32" s="3"/>
      <c r="M32" s="379"/>
    </row>
    <row r="33" spans="3:13" ht="29.25" hidden="1" customHeight="1">
      <c r="C33" s="502" t="str">
        <f>+Resúmen!C103</f>
        <v>01.02.06.01.06</v>
      </c>
      <c r="D33" s="515" t="str">
        <f>+Resúmen!D103</f>
        <v>CODO DE HIERRO DÚCTIL DE 45° (1/8) 2 BRIDAS PN 16 DN 350</v>
      </c>
      <c r="E33" s="503" t="str">
        <f>+Resúmen!E103</f>
        <v>UND</v>
      </c>
      <c r="F33" s="503">
        <v>1</v>
      </c>
      <c r="G33" s="526">
        <v>4</v>
      </c>
      <c r="H33" s="526"/>
      <c r="I33" s="526"/>
      <c r="J33" s="526"/>
      <c r="K33" s="548">
        <f t="shared" si="0"/>
        <v>4</v>
      </c>
      <c r="L33" s="3"/>
      <c r="M33" s="379"/>
    </row>
    <row r="34" spans="3:13" ht="29.25" hidden="1" customHeight="1">
      <c r="C34" s="502" t="str">
        <f>+Resúmen!C104</f>
        <v>01.02.06.01.07</v>
      </c>
      <c r="D34" s="515" t="str">
        <f>+Resúmen!D104</f>
        <v>TRANSICIÓN BRIDA-CAMPANA DE HO. DÚCTIL PN 16 DN 350 MM</v>
      </c>
      <c r="E34" s="503" t="str">
        <f>+Resúmen!E104</f>
        <v>UND</v>
      </c>
      <c r="F34" s="503">
        <v>1</v>
      </c>
      <c r="G34" s="526">
        <v>1</v>
      </c>
      <c r="H34" s="526"/>
      <c r="I34" s="526"/>
      <c r="J34" s="526"/>
      <c r="K34" s="548">
        <f t="shared" si="0"/>
        <v>1</v>
      </c>
      <c r="L34" s="3"/>
      <c r="M34" s="379"/>
    </row>
    <row r="35" spans="3:13" ht="29.25" hidden="1" customHeight="1">
      <c r="C35" s="502" t="str">
        <f>+Resúmen!C105</f>
        <v>01.02.06.01.08</v>
      </c>
      <c r="D35" s="515" t="str">
        <f>+Resúmen!D105</f>
        <v>MONTAJE DE INSTALACIONES HIDRAULICAS DE LA CISTERNA CR-11</v>
      </c>
      <c r="E35" s="503" t="str">
        <f>+Resúmen!E105</f>
        <v>UND</v>
      </c>
      <c r="F35" s="503">
        <v>1</v>
      </c>
      <c r="G35" s="526">
        <v>1</v>
      </c>
      <c r="H35" s="526"/>
      <c r="I35" s="526"/>
      <c r="J35" s="526"/>
      <c r="K35" s="548">
        <f t="shared" si="0"/>
        <v>1</v>
      </c>
      <c r="L35" s="3"/>
      <c r="M35" s="379"/>
    </row>
    <row r="36" spans="3:13" ht="29.25" hidden="1" customHeight="1">
      <c r="C36" s="506" t="str">
        <f>+Resúmen!C106</f>
        <v>01.02.06.02</v>
      </c>
      <c r="D36" s="522" t="str">
        <f>+Resúmen!D106</f>
        <v>CISTERNA CR-12</v>
      </c>
      <c r="E36" s="507" t="s">
        <v>156</v>
      </c>
      <c r="F36" s="507">
        <v>0</v>
      </c>
      <c r="G36" s="528"/>
      <c r="H36" s="528"/>
      <c r="I36" s="528"/>
      <c r="J36" s="528"/>
      <c r="K36" s="548">
        <f t="shared" si="0"/>
        <v>0</v>
      </c>
      <c r="L36" s="3"/>
      <c r="M36" s="379"/>
    </row>
    <row r="37" spans="3:13" ht="29.25" hidden="1" customHeight="1">
      <c r="C37" s="502" t="str">
        <f>+Resúmen!C107</f>
        <v>01.02.06.02.01</v>
      </c>
      <c r="D37" s="515" t="str">
        <f>+Resúmen!D107</f>
        <v>TUBERÍA DE ACERO SHC-40 DN 350 INCLUYE 1% DE DESPERDICIO</v>
      </c>
      <c r="E37" s="503" t="s">
        <v>161</v>
      </c>
      <c r="F37" s="503">
        <v>1</v>
      </c>
      <c r="G37" s="526">
        <v>6.05</v>
      </c>
      <c r="H37" s="526"/>
      <c r="I37" s="526"/>
      <c r="J37" s="526"/>
      <c r="K37" s="548">
        <f t="shared" si="0"/>
        <v>6.05</v>
      </c>
      <c r="L37" s="3"/>
      <c r="M37" s="379"/>
    </row>
    <row r="38" spans="3:13" ht="29.25" hidden="1" customHeight="1">
      <c r="C38" s="502" t="str">
        <f>+Resúmen!C108</f>
        <v>01.02.06.02.02</v>
      </c>
      <c r="D38" s="515" t="str">
        <f>+Resúmen!D108</f>
        <v>BRIDA DE ACERO PARA SOLDAR Y EMPERNAR DN 350</v>
      </c>
      <c r="E38" s="503" t="s">
        <v>163</v>
      </c>
      <c r="F38" s="503">
        <v>1</v>
      </c>
      <c r="G38" s="526">
        <v>3</v>
      </c>
      <c r="H38" s="526"/>
      <c r="I38" s="526"/>
      <c r="J38" s="526"/>
      <c r="K38" s="548">
        <f t="shared" si="0"/>
        <v>3</v>
      </c>
      <c r="L38" s="3"/>
      <c r="M38" s="379"/>
    </row>
    <row r="39" spans="3:13" ht="29.25" hidden="1" customHeight="1">
      <c r="C39" s="502" t="str">
        <f>+Resúmen!C109</f>
        <v>01.02.06.02.03</v>
      </c>
      <c r="D39" s="515" t="str">
        <f>+Resúmen!D109</f>
        <v>EMPAQUETADURA DE JEBE ENLONADA DN 350</v>
      </c>
      <c r="E39" s="503" t="s">
        <v>163</v>
      </c>
      <c r="F39" s="503">
        <v>1</v>
      </c>
      <c r="G39" s="526">
        <v>8</v>
      </c>
      <c r="H39" s="526"/>
      <c r="I39" s="526"/>
      <c r="J39" s="526"/>
      <c r="K39" s="548">
        <f t="shared" si="0"/>
        <v>8</v>
      </c>
      <c r="L39" s="3"/>
      <c r="M39" s="379"/>
    </row>
    <row r="40" spans="3:13" ht="29.25" hidden="1" customHeight="1">
      <c r="C40" s="502" t="str">
        <f>+Resúmen!C110</f>
        <v>01.02.06.02.04</v>
      </c>
      <c r="D40" s="515" t="str">
        <f>+Resúmen!D110</f>
        <v>PERNO DE ACERO INCLUYE TUERCA PARA UNIR BRIDAS DN 350</v>
      </c>
      <c r="E40" s="503" t="s">
        <v>163</v>
      </c>
      <c r="F40" s="503">
        <v>1</v>
      </c>
      <c r="G40" s="526">
        <v>128</v>
      </c>
      <c r="H40" s="526"/>
      <c r="I40" s="526"/>
      <c r="J40" s="526"/>
      <c r="K40" s="548">
        <f t="shared" si="0"/>
        <v>128</v>
      </c>
      <c r="L40" s="3"/>
      <c r="M40" s="379"/>
    </row>
    <row r="41" spans="3:13" ht="29.25" hidden="1" customHeight="1">
      <c r="C41" s="502" t="str">
        <f>+Resúmen!C111</f>
        <v>01.02.06.02.05</v>
      </c>
      <c r="D41" s="515" t="str">
        <f>+Resúmen!D111</f>
        <v>CODO DE HIERRO DÚCTIL DE 45° (1/8) 2 BRIDAS PN 16 DN 350</v>
      </c>
      <c r="E41" s="503" t="s">
        <v>163</v>
      </c>
      <c r="F41" s="503">
        <v>1</v>
      </c>
      <c r="G41" s="526">
        <v>3</v>
      </c>
      <c r="H41" s="526"/>
      <c r="I41" s="526"/>
      <c r="J41" s="526"/>
      <c r="K41" s="548">
        <f t="shared" si="0"/>
        <v>3</v>
      </c>
      <c r="L41" s="3"/>
      <c r="M41" s="379"/>
    </row>
    <row r="42" spans="3:13" ht="29.25" hidden="1" customHeight="1">
      <c r="C42" s="502" t="str">
        <f>+Resúmen!C112</f>
        <v>01.02.06.02.06</v>
      </c>
      <c r="D42" s="515" t="str">
        <f>+Resúmen!D112</f>
        <v>CODO DE HIERRO DÚCTIL DE 22.5° (1/16) 2 BRIDAS PN 16 DN 350</v>
      </c>
      <c r="E42" s="503" t="s">
        <v>163</v>
      </c>
      <c r="F42" s="503">
        <v>1</v>
      </c>
      <c r="G42" s="526">
        <v>1</v>
      </c>
      <c r="H42" s="526"/>
      <c r="I42" s="526"/>
      <c r="J42" s="526"/>
      <c r="K42" s="548">
        <f t="shared" si="0"/>
        <v>1</v>
      </c>
      <c r="L42" s="4"/>
      <c r="M42" s="379"/>
    </row>
    <row r="43" spans="3:13" ht="29.25" hidden="1" customHeight="1">
      <c r="C43" s="502" t="str">
        <f>+Resúmen!C113</f>
        <v>01.02.06.02.07</v>
      </c>
      <c r="D43" s="515" t="str">
        <f>+Resúmen!D113</f>
        <v>TRANSICIÓN BRIDA-CAMPANA DE HO. DÚCTIL PN 16 DN 350 MM</v>
      </c>
      <c r="E43" s="503" t="s">
        <v>163</v>
      </c>
      <c r="F43" s="503">
        <v>1</v>
      </c>
      <c r="G43" s="526">
        <v>1</v>
      </c>
      <c r="H43" s="526"/>
      <c r="I43" s="526"/>
      <c r="J43" s="526"/>
      <c r="K43" s="548">
        <f t="shared" si="0"/>
        <v>1</v>
      </c>
      <c r="L43" s="368"/>
      <c r="M43" s="379"/>
    </row>
    <row r="44" spans="3:13" ht="29.25" hidden="1" customHeight="1">
      <c r="C44" s="502" t="str">
        <f>+Resúmen!C114</f>
        <v>01.02.06.02.08</v>
      </c>
      <c r="D44" s="515" t="str">
        <f>+Resúmen!D114</f>
        <v>MONTAJE DE INSTALACIONES HIDRAULICAS DE LA CISTERNA CR-12</v>
      </c>
      <c r="E44" s="503" t="s">
        <v>163</v>
      </c>
      <c r="F44" s="503">
        <v>1</v>
      </c>
      <c r="G44" s="526">
        <v>1</v>
      </c>
      <c r="H44" s="526"/>
      <c r="I44" s="526"/>
      <c r="J44" s="526"/>
      <c r="K44" s="548">
        <f t="shared" si="0"/>
        <v>1</v>
      </c>
      <c r="L44" s="368"/>
      <c r="M44" s="379"/>
    </row>
    <row r="45" spans="3:13" ht="29.25" hidden="1" customHeight="1">
      <c r="C45" s="506" t="str">
        <f>+Resúmen!C115</f>
        <v>01.02.06.03</v>
      </c>
      <c r="D45" s="522" t="str">
        <f>+Resúmen!D115</f>
        <v>RESERVORIO R-190</v>
      </c>
      <c r="E45" s="507" t="s">
        <v>156</v>
      </c>
      <c r="F45" s="507">
        <v>0</v>
      </c>
      <c r="G45" s="528"/>
      <c r="H45" s="528"/>
      <c r="I45" s="528"/>
      <c r="J45" s="528"/>
      <c r="K45" s="548">
        <f t="shared" si="0"/>
        <v>0</v>
      </c>
      <c r="L45" s="368"/>
      <c r="M45" s="379"/>
    </row>
    <row r="46" spans="3:13" ht="29.25" hidden="1" customHeight="1">
      <c r="C46" s="502" t="str">
        <f>+Resúmen!C116</f>
        <v>01.02.06.03.01</v>
      </c>
      <c r="D46" s="515" t="str">
        <f>+Resúmen!D116</f>
        <v>CORTE Y RETIRO TUBERÍA DE IMPULSIÓN EXISTENTE.</v>
      </c>
      <c r="E46" s="503" t="str">
        <f>+Resúmen!E116</f>
        <v>UND</v>
      </c>
      <c r="F46" s="503">
        <v>1</v>
      </c>
      <c r="G46" s="526">
        <v>1</v>
      </c>
      <c r="H46" s="526"/>
      <c r="I46" s="526"/>
      <c r="J46" s="526"/>
      <c r="K46" s="548">
        <f t="shared" si="0"/>
        <v>1</v>
      </c>
      <c r="L46" s="3"/>
      <c r="M46" s="379"/>
    </row>
    <row r="47" spans="3:13" ht="29.25" hidden="1" customHeight="1">
      <c r="C47" s="502" t="str">
        <f>+Resúmen!C117</f>
        <v>01.02.06.03.02</v>
      </c>
      <c r="D47" s="515" t="str">
        <f>+Resúmen!D117</f>
        <v>TUBERÍA DE ACERO SHC-40 DN 300 INCLUYE 1% DE DESPERDICIO</v>
      </c>
      <c r="E47" s="503" t="str">
        <f>+Resúmen!E117</f>
        <v>M</v>
      </c>
      <c r="F47" s="503">
        <v>1</v>
      </c>
      <c r="G47" s="526">
        <f>0.47+0.13+0.77+1.32+0.28+1.76+4.74+7.42+0.5</f>
        <v>17.39</v>
      </c>
      <c r="H47" s="526"/>
      <c r="I47" s="526"/>
      <c r="J47" s="526"/>
      <c r="K47" s="548">
        <f t="shared" si="0"/>
        <v>17.39</v>
      </c>
      <c r="L47" s="368"/>
      <c r="M47" s="379"/>
    </row>
    <row r="48" spans="3:13" ht="29.25" hidden="1" customHeight="1">
      <c r="C48" s="502" t="str">
        <f>+Resúmen!C118</f>
        <v>01.02.06.03.03</v>
      </c>
      <c r="D48" s="515" t="str">
        <f>+Resúmen!D118</f>
        <v>BRIDA DE ACERO PARA SOLDAR Y EMPERNAR DN 300</v>
      </c>
      <c r="E48" s="503" t="str">
        <f>+Resúmen!E118</f>
        <v>UND</v>
      </c>
      <c r="F48" s="503">
        <v>1</v>
      </c>
      <c r="G48" s="526">
        <v>15</v>
      </c>
      <c r="H48" s="526"/>
      <c r="I48" s="526"/>
      <c r="J48" s="526"/>
      <c r="K48" s="548">
        <f t="shared" si="0"/>
        <v>15</v>
      </c>
      <c r="L48" s="368"/>
      <c r="M48" s="379"/>
    </row>
    <row r="49" spans="3:13" ht="29.25" hidden="1" customHeight="1">
      <c r="C49" s="502" t="str">
        <f>+Resúmen!C119</f>
        <v>01.02.06.03.04</v>
      </c>
      <c r="D49" s="515" t="str">
        <f>+Resúmen!D119</f>
        <v>BRIDA DE ACERO PARA SOLDAR ANCLAJE DN 300</v>
      </c>
      <c r="E49" s="503" t="str">
        <f>+Resúmen!E119</f>
        <v>UND</v>
      </c>
      <c r="F49" s="503">
        <v>1</v>
      </c>
      <c r="G49" s="526">
        <v>3</v>
      </c>
      <c r="H49" s="526"/>
      <c r="I49" s="526"/>
      <c r="J49" s="526"/>
      <c r="K49" s="548">
        <f t="shared" si="0"/>
        <v>3</v>
      </c>
      <c r="L49" s="368"/>
      <c r="M49" s="379"/>
    </row>
    <row r="50" spans="3:13" ht="29.25" hidden="1" customHeight="1">
      <c r="C50" s="502" t="str">
        <f>+Resúmen!C120</f>
        <v>01.02.06.03.05</v>
      </c>
      <c r="D50" s="515" t="str">
        <f>+Resúmen!D120</f>
        <v>EMPAQUETADURA DE JEBE ENLONADA DN 300</v>
      </c>
      <c r="E50" s="503" t="str">
        <f>+Resúmen!E120</f>
        <v>UND</v>
      </c>
      <c r="F50" s="503">
        <v>1</v>
      </c>
      <c r="G50" s="526">
        <v>21</v>
      </c>
      <c r="H50" s="526"/>
      <c r="I50" s="526"/>
      <c r="J50" s="526"/>
      <c r="K50" s="548">
        <f t="shared" ref="K50:K81" si="1">+PRODUCT(F50:I50)</f>
        <v>21</v>
      </c>
      <c r="L50" s="368"/>
      <c r="M50" s="379"/>
    </row>
    <row r="51" spans="3:13" ht="29.25" hidden="1" customHeight="1">
      <c r="C51" s="502" t="str">
        <f>+Resúmen!C121</f>
        <v>01.02.06.03.06</v>
      </c>
      <c r="D51" s="515" t="str">
        <f>+Resúmen!D121</f>
        <v>PERNO DE ACERO INCLUYE TUERCA PARA UNIR BRIDAS DN 300</v>
      </c>
      <c r="E51" s="503" t="str">
        <f>+Resúmen!E121</f>
        <v>UND</v>
      </c>
      <c r="F51" s="503">
        <v>1</v>
      </c>
      <c r="G51" s="526">
        <f>+G50*12</f>
        <v>252</v>
      </c>
      <c r="H51" s="526"/>
      <c r="I51" s="526"/>
      <c r="J51" s="526"/>
      <c r="K51" s="548">
        <f t="shared" si="1"/>
        <v>252</v>
      </c>
      <c r="L51" s="368"/>
      <c r="M51" s="379"/>
    </row>
    <row r="52" spans="3:13" ht="29.25" hidden="1" customHeight="1">
      <c r="C52" s="502" t="str">
        <f>+Resúmen!C122</f>
        <v>01.02.06.03.07</v>
      </c>
      <c r="D52" s="515" t="str">
        <f>+Resúmen!D122</f>
        <v>TRANSICIÓN BRIDA-CAMPANA DE HO. DÚCTIL PN 16 DN 300 MM</v>
      </c>
      <c r="E52" s="503" t="str">
        <f>+Resúmen!E122</f>
        <v>UND</v>
      </c>
      <c r="F52" s="503">
        <v>1</v>
      </c>
      <c r="G52" s="526">
        <v>1</v>
      </c>
      <c r="H52" s="526"/>
      <c r="I52" s="526"/>
      <c r="J52" s="526"/>
      <c r="K52" s="548">
        <f t="shared" si="1"/>
        <v>1</v>
      </c>
      <c r="L52" s="368"/>
      <c r="M52" s="379"/>
    </row>
    <row r="53" spans="3:13" ht="29.25" hidden="1" customHeight="1">
      <c r="C53" s="502" t="str">
        <f>+Resúmen!C123</f>
        <v>01.02.06.03.08</v>
      </c>
      <c r="D53" s="515" t="str">
        <f>+Resúmen!D123</f>
        <v>CODO DE HIERRO DÚCTIL DE 90° (1/4) 2 BRIDAS PN 16 DN 300</v>
      </c>
      <c r="E53" s="503" t="str">
        <f>+Resúmen!E123</f>
        <v>UND</v>
      </c>
      <c r="F53" s="503">
        <v>1</v>
      </c>
      <c r="G53" s="526">
        <v>1</v>
      </c>
      <c r="H53" s="526"/>
      <c r="I53" s="526"/>
      <c r="J53" s="526"/>
      <c r="K53" s="548">
        <f t="shared" si="1"/>
        <v>1</v>
      </c>
      <c r="L53" s="368"/>
      <c r="M53" s="379"/>
    </row>
    <row r="54" spans="3:13" ht="29.25" hidden="1" customHeight="1">
      <c r="C54" s="502" t="str">
        <f>+Resúmen!C124</f>
        <v>01.02.06.03.09</v>
      </c>
      <c r="D54" s="515" t="str">
        <f>+Resúmen!D124</f>
        <v>CODO DE HIERRO DÚCTIL DE 45° (1/8) 2 BRIDAS PN 16 DN 300</v>
      </c>
      <c r="E54" s="503" t="str">
        <f>+Resúmen!E124</f>
        <v>UND</v>
      </c>
      <c r="F54" s="503">
        <v>1</v>
      </c>
      <c r="G54" s="526">
        <v>3</v>
      </c>
      <c r="H54" s="526"/>
      <c r="I54" s="526"/>
      <c r="J54" s="526"/>
      <c r="K54" s="548">
        <f t="shared" si="1"/>
        <v>3</v>
      </c>
      <c r="L54" s="368"/>
      <c r="M54" s="379"/>
    </row>
    <row r="55" spans="3:13" ht="29.25" hidden="1" customHeight="1">
      <c r="C55" s="502" t="str">
        <f>+Resúmen!C125</f>
        <v>01.02.06.03.10</v>
      </c>
      <c r="D55" s="515" t="str">
        <f>+Resúmen!D125</f>
        <v>CODO DE HIERRO DÚCTIL DE 22.5° (1/16) 2 BRIDAS PN 16 DN 300</v>
      </c>
      <c r="E55" s="503" t="str">
        <f>+Resúmen!E125</f>
        <v>UND</v>
      </c>
      <c r="F55" s="503">
        <v>1</v>
      </c>
      <c r="G55" s="526">
        <v>2</v>
      </c>
      <c r="H55" s="526"/>
      <c r="I55" s="526"/>
      <c r="J55" s="526"/>
      <c r="K55" s="548">
        <f t="shared" si="1"/>
        <v>2</v>
      </c>
      <c r="L55" s="368"/>
      <c r="M55" s="379"/>
    </row>
    <row r="56" spans="3:13" ht="29.25" hidden="1" customHeight="1">
      <c r="C56" s="502" t="str">
        <f>+Resúmen!C126</f>
        <v>01.02.06.03.11</v>
      </c>
      <c r="D56" s="515" t="str">
        <f>+Resúmen!D126</f>
        <v>CODO DE HIERRO DÚCTIL DE 11.25° (1/32) 2 BRIDAS PN 16 DN 300</v>
      </c>
      <c r="E56" s="503" t="str">
        <f>+Resúmen!E126</f>
        <v>UND</v>
      </c>
      <c r="F56" s="503">
        <v>1</v>
      </c>
      <c r="G56" s="526">
        <v>1</v>
      </c>
      <c r="H56" s="526"/>
      <c r="I56" s="526"/>
      <c r="J56" s="526"/>
      <c r="K56" s="548">
        <f t="shared" si="1"/>
        <v>1</v>
      </c>
      <c r="L56" s="368"/>
      <c r="M56" s="379"/>
    </row>
    <row r="57" spans="3:13" ht="29.25" hidden="1" customHeight="1">
      <c r="C57" s="502" t="str">
        <f>+Resúmen!C127</f>
        <v>01.02.06.03.12</v>
      </c>
      <c r="D57" s="515" t="str">
        <f>+Resúmen!D127</f>
        <v>UNIÓN DE DESMONTAJE AUTOPORTANTE DN 300 MM</v>
      </c>
      <c r="E57" s="503" t="str">
        <f>+Resúmen!E127</f>
        <v>UND</v>
      </c>
      <c r="F57" s="503">
        <v>1</v>
      </c>
      <c r="G57" s="526">
        <v>2</v>
      </c>
      <c r="H57" s="526"/>
      <c r="I57" s="526"/>
      <c r="J57" s="526"/>
      <c r="K57" s="548">
        <f t="shared" si="1"/>
        <v>2</v>
      </c>
      <c r="L57" s="368"/>
      <c r="M57" s="379"/>
    </row>
    <row r="58" spans="3:13" ht="29.25" hidden="1" customHeight="1">
      <c r="C58" s="502" t="str">
        <f>+Resúmen!C128</f>
        <v>01.02.06.03.13</v>
      </c>
      <c r="D58" s="515" t="str">
        <f>+Resúmen!D128</f>
        <v>FILTRO EN "Y" DE ACERO INOX. EXTREMOS BB PN 16 DN 300 SEGÚN ESPECIFICACIONES (PROTECCIÓN DE SISTEMA DE AGUA POTABLE)</v>
      </c>
      <c r="E58" s="503" t="str">
        <f>+Resúmen!E128</f>
        <v>UND</v>
      </c>
      <c r="F58" s="503">
        <v>1</v>
      </c>
      <c r="G58" s="526">
        <v>1</v>
      </c>
      <c r="H58" s="526"/>
      <c r="I58" s="526"/>
      <c r="J58" s="526"/>
      <c r="K58" s="548">
        <f t="shared" si="1"/>
        <v>1</v>
      </c>
      <c r="L58" s="368"/>
      <c r="M58" s="379"/>
    </row>
    <row r="59" spans="3:13" ht="29.25" hidden="1" customHeight="1">
      <c r="C59" s="502" t="str">
        <f>+Resúmen!C129</f>
        <v>01.02.06.03.14</v>
      </c>
      <c r="D59" s="515" t="str">
        <f>+Resúmen!D129</f>
        <v>SOPORTE METÁLICO TIPO TRÍPODE P/TUBERÍA DN 300 A 350</v>
      </c>
      <c r="E59" s="503" t="str">
        <f>+Resúmen!E129</f>
        <v>UND</v>
      </c>
      <c r="F59" s="503">
        <v>1</v>
      </c>
      <c r="G59" s="526">
        <v>2</v>
      </c>
      <c r="H59" s="526"/>
      <c r="I59" s="526"/>
      <c r="J59" s="526"/>
      <c r="K59" s="548">
        <f t="shared" si="1"/>
        <v>2</v>
      </c>
      <c r="L59" s="368"/>
      <c r="M59" s="379"/>
    </row>
    <row r="60" spans="3:13" ht="29.25" hidden="1" customHeight="1">
      <c r="C60" s="502" t="str">
        <f>+Resúmen!C130</f>
        <v>01.02.06.03.15</v>
      </c>
      <c r="D60" s="515" t="str">
        <f>+Resúmen!D130</f>
        <v>VÁLVULA MARIPOSA BB DN 300 HO. DÚCTIL EXCÉNT,ASIENTO-EJE ACERO INOXIDABLE</v>
      </c>
      <c r="E60" s="503" t="str">
        <f>+Resúmen!E130</f>
        <v>UND</v>
      </c>
      <c r="F60" s="503">
        <v>1</v>
      </c>
      <c r="G60" s="526">
        <v>1</v>
      </c>
      <c r="H60" s="526"/>
      <c r="I60" s="526"/>
      <c r="J60" s="526"/>
      <c r="K60" s="548">
        <f t="shared" si="1"/>
        <v>1</v>
      </c>
      <c r="L60" s="368"/>
      <c r="M60" s="379"/>
    </row>
    <row r="61" spans="3:13" ht="29.25" hidden="1" customHeight="1">
      <c r="C61" s="502" t="str">
        <f>+Resúmen!C131</f>
        <v>01.02.06.03.16</v>
      </c>
      <c r="D61" s="515" t="str">
        <f>+Resúmen!D131</f>
        <v>VÁLVULA ALTITUD CONTROL PILOTO BRIDADA DN 300</v>
      </c>
      <c r="E61" s="503" t="str">
        <f>+Resúmen!E131</f>
        <v>UND</v>
      </c>
      <c r="F61" s="503">
        <v>1</v>
      </c>
      <c r="G61" s="526">
        <v>1</v>
      </c>
      <c r="H61" s="526"/>
      <c r="I61" s="526"/>
      <c r="J61" s="526"/>
      <c r="K61" s="548">
        <f t="shared" si="1"/>
        <v>1</v>
      </c>
      <c r="L61" s="368"/>
      <c r="M61" s="379"/>
    </row>
    <row r="62" spans="3:13" ht="29.25" hidden="1" customHeight="1">
      <c r="C62" s="502" t="str">
        <f>+Resúmen!C132</f>
        <v>01.02.06.03.17</v>
      </c>
      <c r="D62" s="515" t="str">
        <f>+Resúmen!D132</f>
        <v>MONTAJE DE INSTALACIONES HIDRAULICAS DE LA CISTERNA R-190</v>
      </c>
      <c r="E62" s="503" t="str">
        <f>+Resúmen!E132</f>
        <v>UND</v>
      </c>
      <c r="F62" s="503">
        <v>1</v>
      </c>
      <c r="G62" s="526">
        <v>1</v>
      </c>
      <c r="H62" s="526"/>
      <c r="I62" s="526"/>
      <c r="J62" s="526"/>
      <c r="K62" s="548">
        <f t="shared" si="1"/>
        <v>1</v>
      </c>
      <c r="L62" s="368"/>
      <c r="M62" s="379"/>
    </row>
    <row r="63" spans="3:13" ht="29.25" hidden="1" customHeight="1">
      <c r="C63" s="504" t="str">
        <f>+Resúmen!C180</f>
        <v>01.02.11</v>
      </c>
      <c r="D63" s="521" t="str">
        <f>+Resúmen!D180</f>
        <v>CAMBIO DE LINEA DE ADUCCION EN PASAJE - POR PROCESO CONSTRUCTIVO</v>
      </c>
      <c r="E63" s="505" t="s">
        <v>156</v>
      </c>
      <c r="F63" s="505">
        <v>0</v>
      </c>
      <c r="G63" s="527"/>
      <c r="H63" s="527"/>
      <c r="I63" s="527"/>
      <c r="J63" s="527"/>
      <c r="K63" s="548">
        <f t="shared" si="1"/>
        <v>0</v>
      </c>
      <c r="M63" s="379"/>
    </row>
    <row r="64" spans="3:13" ht="29.25" hidden="1" customHeight="1">
      <c r="C64" s="502" t="str">
        <f>+Resúmen!C181</f>
        <v>01.02.11.01</v>
      </c>
      <c r="D64" s="515" t="str">
        <f>+Resúmen!D181</f>
        <v>EXTRACCION DE TUBERIA DE PVC DN 250MM EXISTENTE</v>
      </c>
      <c r="E64" s="503" t="str">
        <f>+Resúmen!E181</f>
        <v>M</v>
      </c>
      <c r="F64" s="503">
        <v>1</v>
      </c>
      <c r="G64" s="526">
        <v>35</v>
      </c>
      <c r="H64" s="526"/>
      <c r="I64" s="526"/>
      <c r="J64" s="526"/>
      <c r="K64" s="548">
        <f t="shared" si="1"/>
        <v>35</v>
      </c>
      <c r="M64" s="379"/>
    </row>
    <row r="65" spans="3:13" ht="29.25" hidden="1" customHeight="1">
      <c r="C65" s="502" t="str">
        <f>+Resúmen!C182</f>
        <v>01.02.11.02</v>
      </c>
      <c r="D65" s="515" t="str">
        <f>+Resúmen!D182</f>
        <v>EXCAVACIÓN ZANJA (S/EXP) P/TUB. T-ROCOSO DN 200 - 250 DE 1,01 M A 1,25 M PROF.</v>
      </c>
      <c r="E65" s="503" t="str">
        <f>+Resúmen!E182</f>
        <v>M</v>
      </c>
      <c r="F65" s="503">
        <v>1</v>
      </c>
      <c r="G65" s="526">
        <f t="shared" ref="G65:G71" si="2">+G64</f>
        <v>35</v>
      </c>
      <c r="H65" s="526"/>
      <c r="I65" s="526"/>
      <c r="J65" s="526"/>
      <c r="K65" s="548">
        <f t="shared" si="1"/>
        <v>35</v>
      </c>
      <c r="M65" s="379"/>
    </row>
    <row r="66" spans="3:13" ht="29.25" hidden="1" customHeight="1">
      <c r="C66" s="502" t="str">
        <f>+Resúmen!C183</f>
        <v>01.02.11.03</v>
      </c>
      <c r="D66" s="515" t="str">
        <f>+Resúmen!D183</f>
        <v>REFINE Y NIVEL DE ZANJA TERR-ROCOSO P/ TUB. DN 200 - 250 PARA TODA PROFUND.</v>
      </c>
      <c r="E66" s="503" t="str">
        <f>+Resúmen!E183</f>
        <v>M</v>
      </c>
      <c r="F66" s="503">
        <v>1</v>
      </c>
      <c r="G66" s="526">
        <f t="shared" si="2"/>
        <v>35</v>
      </c>
      <c r="H66" s="526"/>
      <c r="I66" s="526"/>
      <c r="J66" s="526"/>
      <c r="K66" s="548">
        <f t="shared" si="1"/>
        <v>35</v>
      </c>
      <c r="M66" s="379"/>
    </row>
    <row r="67" spans="3:13" ht="29.25" hidden="1" customHeight="1">
      <c r="C67" s="502" t="str">
        <f>+Resúmen!C184</f>
        <v>01.02.11.04</v>
      </c>
      <c r="D67" s="515" t="str">
        <f>+Resúmen!D184</f>
        <v>RELLENO COMP.ZANJA(PULSO)P/TUB T-ROCOSO DN 200 - 250 DE 1,01 M A 1,25 M PROF.</v>
      </c>
      <c r="E67" s="503" t="str">
        <f>+Resúmen!E184</f>
        <v>M</v>
      </c>
      <c r="F67" s="503">
        <v>1</v>
      </c>
      <c r="G67" s="526">
        <f t="shared" si="2"/>
        <v>35</v>
      </c>
      <c r="H67" s="526"/>
      <c r="I67" s="526"/>
      <c r="J67" s="526"/>
      <c r="K67" s="548">
        <f t="shared" si="1"/>
        <v>35</v>
      </c>
      <c r="M67" s="379"/>
    </row>
    <row r="68" spans="3:13" ht="29.25" hidden="1" customHeight="1">
      <c r="C68" s="502" t="str">
        <f>+Resúmen!C185</f>
        <v>01.02.11.05</v>
      </c>
      <c r="D68" s="515" t="str">
        <f>+Resúmen!D185</f>
        <v>RETIRO Y ACOMODO DE DESMONTE EN ZONA ALEDAÑA T. ROCOSO</v>
      </c>
      <c r="E68" s="503" t="str">
        <f>+Resúmen!E185</f>
        <v>M3</v>
      </c>
      <c r="F68" s="503">
        <v>1</v>
      </c>
      <c r="G68" s="526">
        <f t="shared" si="2"/>
        <v>35</v>
      </c>
      <c r="H68" s="526">
        <v>0.5</v>
      </c>
      <c r="I68" s="526">
        <v>1.0900000000000001</v>
      </c>
      <c r="J68" s="526"/>
      <c r="K68" s="548">
        <f t="shared" si="1"/>
        <v>19.075000000000003</v>
      </c>
      <c r="M68" s="379"/>
    </row>
    <row r="69" spans="3:13" ht="29.25" hidden="1" customHeight="1">
      <c r="C69" s="502" t="str">
        <f>+Resúmen!C186</f>
        <v>01.02.11.06</v>
      </c>
      <c r="D69" s="515" t="str">
        <f>+Resúmen!D186</f>
        <v>ELIMIN. DESMONTE(CARG+V) T-ROCOSO D=20KM P/TUB DN 200 - 250 DE 1,01 M A 1,25 M</v>
      </c>
      <c r="E69" s="503" t="str">
        <f>+Resúmen!E186</f>
        <v>M</v>
      </c>
      <c r="F69" s="503">
        <v>1</v>
      </c>
      <c r="G69" s="526">
        <f t="shared" si="2"/>
        <v>35</v>
      </c>
      <c r="H69" s="526"/>
      <c r="I69" s="526"/>
      <c r="J69" s="526"/>
      <c r="K69" s="548">
        <f t="shared" si="1"/>
        <v>35</v>
      </c>
      <c r="M69" s="379"/>
    </row>
    <row r="70" spans="3:13" ht="29.25" hidden="1" customHeight="1">
      <c r="C70" s="502" t="str">
        <f>+Resúmen!C187</f>
        <v>01.02.11.07</v>
      </c>
      <c r="D70" s="515" t="str">
        <f>+Resúmen!D187</f>
        <v>SUMINISTRO DE TUBERIA HDPE PE 100, PN 10 (145 PSI - SDR 17) DNE 250 MM (INCL. DESPERD. 2%)</v>
      </c>
      <c r="E70" s="503" t="str">
        <f>+Resúmen!E187</f>
        <v>M</v>
      </c>
      <c r="F70" s="503">
        <v>1</v>
      </c>
      <c r="G70" s="526">
        <f t="shared" si="2"/>
        <v>35</v>
      </c>
      <c r="H70" s="526"/>
      <c r="I70" s="526"/>
      <c r="J70" s="526"/>
      <c r="K70" s="548">
        <f t="shared" si="1"/>
        <v>35</v>
      </c>
      <c r="M70" s="379"/>
    </row>
    <row r="71" spans="3:13" ht="29.25" hidden="1" customHeight="1">
      <c r="C71" s="502" t="str">
        <f>+Resúmen!C188</f>
        <v>01.02.11.08</v>
      </c>
      <c r="D71" s="515" t="str">
        <f>+Resúmen!D188</f>
        <v>INSTALACIÓN TUB. POLIETILENO P/AGUA POT. DN 250 INCLUYE PRUEBA HIDRÁULICA</v>
      </c>
      <c r="E71" s="503" t="str">
        <f>+Resúmen!E188</f>
        <v>M</v>
      </c>
      <c r="F71" s="503">
        <v>1</v>
      </c>
      <c r="G71" s="526">
        <f t="shared" si="2"/>
        <v>35</v>
      </c>
      <c r="H71" s="526"/>
      <c r="I71" s="526"/>
      <c r="J71" s="526"/>
      <c r="K71" s="548">
        <f t="shared" si="1"/>
        <v>35</v>
      </c>
      <c r="M71" s="379"/>
    </row>
    <row r="72" spans="3:13" ht="29.25" hidden="1" customHeight="1">
      <c r="C72" s="502" t="str">
        <f>+Resúmen!C189</f>
        <v>01.02.11.09</v>
      </c>
      <c r="D72" s="515" t="str">
        <f>+Resúmen!D189</f>
        <v>CODO ELECTROFUSION HDPE DN 250MM X 45 PN10</v>
      </c>
      <c r="E72" s="503" t="str">
        <f>+Resúmen!E189</f>
        <v>UND</v>
      </c>
      <c r="F72" s="503">
        <v>1</v>
      </c>
      <c r="G72" s="526">
        <v>5</v>
      </c>
      <c r="H72" s="526"/>
      <c r="I72" s="526"/>
      <c r="J72" s="526"/>
      <c r="K72" s="548">
        <f t="shared" si="1"/>
        <v>5</v>
      </c>
      <c r="M72" s="379"/>
    </row>
    <row r="73" spans="3:13" ht="29.25" hidden="1" customHeight="1">
      <c r="C73" s="502" t="str">
        <f>+Resúmen!C190</f>
        <v>01.02.11.10</v>
      </c>
      <c r="D73" s="515" t="str">
        <f>+Resúmen!D190</f>
        <v>CODO ELECTROFUSION HDPE DN 250MM X 11.25 PN 10</v>
      </c>
      <c r="E73" s="503" t="str">
        <f>+Resúmen!E190</f>
        <v>UND</v>
      </c>
      <c r="F73" s="503">
        <v>1</v>
      </c>
      <c r="G73" s="526">
        <v>3</v>
      </c>
      <c r="H73" s="526"/>
      <c r="I73" s="526"/>
      <c r="J73" s="526"/>
      <c r="K73" s="548">
        <f t="shared" si="1"/>
        <v>3</v>
      </c>
      <c r="M73" s="379"/>
    </row>
    <row r="74" spans="3:13" ht="29.25" hidden="1" customHeight="1">
      <c r="C74" s="502" t="str">
        <f>+Resúmen!C191</f>
        <v>01.02.11.11</v>
      </c>
      <c r="D74" s="515" t="str">
        <f>+Resúmen!D191</f>
        <v>CODO ELECTROFUSION HDPE DN 250MM X 22.5 PN 10</v>
      </c>
      <c r="E74" s="503" t="str">
        <f>+Resúmen!E191</f>
        <v>UND</v>
      </c>
      <c r="F74" s="503">
        <v>1</v>
      </c>
      <c r="G74" s="526">
        <v>4</v>
      </c>
      <c r="H74" s="526"/>
      <c r="I74" s="526"/>
      <c r="J74" s="526"/>
      <c r="K74" s="548">
        <f t="shared" si="1"/>
        <v>4</v>
      </c>
      <c r="M74" s="379"/>
    </row>
    <row r="75" spans="3:13" ht="29.25" hidden="1" customHeight="1">
      <c r="C75" s="502" t="str">
        <f>+Resúmen!C192</f>
        <v>01.02.11.12</v>
      </c>
      <c r="D75" s="515" t="str">
        <f>+Resúmen!D192</f>
        <v>JUNTA MECANICA DN 250MM TUBERIA DE POLIETILENO-PVC</v>
      </c>
      <c r="E75" s="503" t="str">
        <f>+Resúmen!E192</f>
        <v>UND</v>
      </c>
      <c r="F75" s="503">
        <v>1</v>
      </c>
      <c r="G75" s="526">
        <v>2</v>
      </c>
      <c r="H75" s="526"/>
      <c r="I75" s="526"/>
      <c r="J75" s="526"/>
      <c r="K75" s="548">
        <f t="shared" si="1"/>
        <v>2</v>
      </c>
      <c r="M75" s="379"/>
    </row>
    <row r="76" spans="3:13" ht="29.25" hidden="1" customHeight="1">
      <c r="C76" s="502" t="str">
        <f>+Resúmen!C193</f>
        <v>01.02.11.13</v>
      </c>
      <c r="D76" s="515" t="str">
        <f>+Resúmen!D193</f>
        <v>INSTALACIÓN DE ACCESORIOS DE HDPE DN 200 -250 MM</v>
      </c>
      <c r="E76" s="503" t="str">
        <f>+Resúmen!E193</f>
        <v>UND</v>
      </c>
      <c r="F76" s="503">
        <v>1</v>
      </c>
      <c r="G76" s="526">
        <v>14</v>
      </c>
      <c r="H76" s="526"/>
      <c r="I76" s="526"/>
      <c r="J76" s="526"/>
      <c r="K76" s="548">
        <f t="shared" si="1"/>
        <v>14</v>
      </c>
      <c r="M76" s="379"/>
    </row>
    <row r="77" spans="3:13" ht="29.25" hidden="1" customHeight="1">
      <c r="C77" s="502" t="str">
        <f>+Resúmen!C194</f>
        <v>01.02.11.14</v>
      </c>
      <c r="D77" s="515" t="str">
        <f>+Resúmen!D194</f>
        <v>PRUEBA HIDRÁULICA DE TUBERÍA AGUA POTAB. DN 250</v>
      </c>
      <c r="E77" s="503" t="str">
        <f>+Resúmen!E194</f>
        <v>M</v>
      </c>
      <c r="F77" s="503">
        <v>1</v>
      </c>
      <c r="G77" s="526">
        <v>35</v>
      </c>
      <c r="H77" s="526"/>
      <c r="I77" s="526"/>
      <c r="J77" s="526"/>
      <c r="K77" s="548">
        <f t="shared" si="1"/>
        <v>35</v>
      </c>
      <c r="M77" s="379"/>
    </row>
    <row r="78" spans="3:13" ht="29.25" hidden="1" customHeight="1">
      <c r="C78" s="502" t="str">
        <f>+Resúmen!C195</f>
        <v>01.02.11.15</v>
      </c>
      <c r="D78" s="515" t="str">
        <f>+Resúmen!D195</f>
        <v>EMPALMES DIRECTOS DE TUBERÍA A LÍNEAS DE AGUA POTABLE DN 200 A 250</v>
      </c>
      <c r="E78" s="503" t="str">
        <f>+Resúmen!E195</f>
        <v>UND</v>
      </c>
      <c r="F78" s="503">
        <v>1</v>
      </c>
      <c r="G78" s="526">
        <v>2</v>
      </c>
      <c r="H78" s="526"/>
      <c r="I78" s="526"/>
      <c r="J78" s="526"/>
      <c r="K78" s="548">
        <f t="shared" si="1"/>
        <v>2</v>
      </c>
      <c r="M78" s="379"/>
    </row>
    <row r="79" spans="3:13" ht="29.25" hidden="1" customHeight="1">
      <c r="C79" s="504" t="str">
        <f>+Resúmen!C196</f>
        <v>01.02.12</v>
      </c>
      <c r="D79" s="521" t="str">
        <f>+Resúmen!D196</f>
        <v>CAMBIO DE LINEA DE REBOSE DE RESERVORIO EN PASAJE</v>
      </c>
      <c r="E79" s="505" t="s">
        <v>156</v>
      </c>
      <c r="F79" s="505">
        <v>0</v>
      </c>
      <c r="G79" s="527"/>
      <c r="H79" s="527"/>
      <c r="I79" s="527"/>
      <c r="J79" s="527"/>
      <c r="K79" s="548">
        <f t="shared" si="1"/>
        <v>0</v>
      </c>
      <c r="M79" s="379"/>
    </row>
    <row r="80" spans="3:13" ht="29.25" hidden="1" customHeight="1">
      <c r="C80" s="502" t="str">
        <f>+Resúmen!C197</f>
        <v>01.02.12.01</v>
      </c>
      <c r="D80" s="515" t="str">
        <f>+Resúmen!D197</f>
        <v>EXTRACCION DE TUBERIA DE PVC DN 250MM EXISTENTE</v>
      </c>
      <c r="E80" s="503" t="str">
        <f>+Resúmen!E197</f>
        <v>M</v>
      </c>
      <c r="F80" s="503">
        <v>1</v>
      </c>
      <c r="G80" s="526">
        <v>35</v>
      </c>
      <c r="H80" s="526"/>
      <c r="I80" s="526"/>
      <c r="J80" s="526"/>
      <c r="K80" s="548">
        <f t="shared" si="1"/>
        <v>35</v>
      </c>
      <c r="M80" s="379"/>
    </row>
    <row r="81" spans="3:13" ht="29.25" hidden="1" customHeight="1">
      <c r="C81" s="502" t="str">
        <f>+Resúmen!C198</f>
        <v>01.02.12.02</v>
      </c>
      <c r="D81" s="515" t="str">
        <f>+Resúmen!D198</f>
        <v>DEMOLICIÓN DE BUZÓN, DE 1,26 A 1,50 M DE PROFUNDIDAD (INCL. ACOMODO DEL DESMONTE PARA SU ELIMINACIÓN)</v>
      </c>
      <c r="E81" s="503" t="str">
        <f>+Resúmen!E198</f>
        <v>UND</v>
      </c>
      <c r="F81" s="503">
        <v>1</v>
      </c>
      <c r="G81" s="526">
        <v>1</v>
      </c>
      <c r="H81" s="526"/>
      <c r="I81" s="526"/>
      <c r="J81" s="526"/>
      <c r="K81" s="548">
        <f t="shared" si="1"/>
        <v>1</v>
      </c>
      <c r="M81" s="379"/>
    </row>
    <row r="82" spans="3:13" ht="29.25" hidden="1" customHeight="1">
      <c r="C82" s="502" t="str">
        <f>+Resúmen!C199</f>
        <v>01.02.12.03</v>
      </c>
      <c r="D82" s="515" t="str">
        <f>+Resúmen!D199</f>
        <v>ELIMINACIÓN DE DESMONTE R=20 KM PROVENIENTE DE DEMOLICION DE CONCRETO A PULSO (INCL DISPOSICION FINAL - MATERIAL NO PELIGROSO)</v>
      </c>
      <c r="E82" s="503" t="str">
        <f>+Resúmen!E199</f>
        <v>M3</v>
      </c>
      <c r="F82" s="503">
        <v>1</v>
      </c>
      <c r="G82" s="526">
        <v>1.8</v>
      </c>
      <c r="H82" s="526"/>
      <c r="I82" s="526"/>
      <c r="J82" s="526"/>
      <c r="K82" s="548">
        <f t="shared" ref="K82:K98" si="3">+PRODUCT(F82:I82)</f>
        <v>1.8</v>
      </c>
      <c r="M82" s="379"/>
    </row>
    <row r="83" spans="3:13" ht="29.25" hidden="1" customHeight="1">
      <c r="C83" s="502" t="str">
        <f>+Resúmen!C200</f>
        <v>01.02.12.04</v>
      </c>
      <c r="D83" s="515" t="str">
        <f>+Resúmen!D200</f>
        <v>EXCAVACIÓN ZANJA (S/EXP) P/TUB. T-ROCOSO DN 200 - 250 DE 1,26 M A 1,50 M PROF.</v>
      </c>
      <c r="E83" s="503" t="str">
        <f>+Resúmen!E200</f>
        <v>M</v>
      </c>
      <c r="F83" s="503">
        <v>1</v>
      </c>
      <c r="G83" s="526">
        <f>+G80</f>
        <v>35</v>
      </c>
      <c r="H83" s="526"/>
      <c r="I83" s="526"/>
      <c r="J83" s="526"/>
      <c r="K83" s="548">
        <f t="shared" si="3"/>
        <v>35</v>
      </c>
      <c r="M83" s="379"/>
    </row>
    <row r="84" spans="3:13" ht="29.25" hidden="1" customHeight="1">
      <c r="C84" s="502" t="str">
        <f>+Resúmen!C201</f>
        <v>01.02.12.05</v>
      </c>
      <c r="D84" s="515" t="str">
        <f>+Resúmen!D201</f>
        <v>REFINE Y NIVEL DE ZANJA TERR-ROCOSO P/ TUB. DN 200 - 250 PARA TODA PROFUND.</v>
      </c>
      <c r="E84" s="503" t="str">
        <f>+Resúmen!E201</f>
        <v>M</v>
      </c>
      <c r="F84" s="503">
        <v>1</v>
      </c>
      <c r="G84" s="526">
        <f t="shared" ref="G84:G89" si="4">+G83</f>
        <v>35</v>
      </c>
      <c r="H84" s="526"/>
      <c r="I84" s="526"/>
      <c r="J84" s="526"/>
      <c r="K84" s="548">
        <f t="shared" si="3"/>
        <v>35</v>
      </c>
      <c r="M84" s="379"/>
    </row>
    <row r="85" spans="3:13" ht="29.25" hidden="1" customHeight="1">
      <c r="C85" s="502" t="str">
        <f>+Resúmen!C202</f>
        <v>01.02.12.06</v>
      </c>
      <c r="D85" s="515" t="str">
        <f>+Resúmen!D202</f>
        <v>RELLENO COMP.ZANJA(PULSO)P/TUB T-ROCOSO DN 200 - 250 DE 1,26 M A 1,50 M PROF.</v>
      </c>
      <c r="E85" s="503" t="str">
        <f>+Resúmen!E202</f>
        <v>M</v>
      </c>
      <c r="F85" s="503">
        <v>1</v>
      </c>
      <c r="G85" s="526">
        <f t="shared" si="4"/>
        <v>35</v>
      </c>
      <c r="H85" s="526"/>
      <c r="I85" s="526"/>
      <c r="J85" s="526"/>
      <c r="K85" s="548">
        <f t="shared" si="3"/>
        <v>35</v>
      </c>
      <c r="M85" s="379"/>
    </row>
    <row r="86" spans="3:13" ht="29.25" hidden="1" customHeight="1">
      <c r="C86" s="502" t="str">
        <f>+Resúmen!C203</f>
        <v>01.02.12.07</v>
      </c>
      <c r="D86" s="515" t="str">
        <f>+Resúmen!D203</f>
        <v>ELIMIN. DESMONTE(CARG+V) T-ROCOSO D=20KM P/TUB DN 200 - 250 DE 1,26 M A 1,50 M</v>
      </c>
      <c r="E86" s="503" t="str">
        <f>+Resúmen!E203</f>
        <v>M</v>
      </c>
      <c r="F86" s="503">
        <v>1</v>
      </c>
      <c r="G86" s="526">
        <f t="shared" si="4"/>
        <v>35</v>
      </c>
      <c r="H86" s="526"/>
      <c r="I86" s="526"/>
      <c r="J86" s="526"/>
      <c r="K86" s="548">
        <f t="shared" si="3"/>
        <v>35</v>
      </c>
      <c r="M86" s="379"/>
    </row>
    <row r="87" spans="3:13" ht="29.25" hidden="1" customHeight="1">
      <c r="C87" s="502" t="str">
        <f>+Resúmen!C204</f>
        <v>01.02.12.08</v>
      </c>
      <c r="D87" s="515" t="str">
        <f>+Resúmen!D204</f>
        <v>RETIRO Y ACOMODO DE DESMONTE EN ZONA ALEDAÑA T. ROCOSO</v>
      </c>
      <c r="E87" s="503" t="str">
        <f>+Resúmen!E204</f>
        <v>M3</v>
      </c>
      <c r="F87" s="503">
        <v>1</v>
      </c>
      <c r="G87" s="526">
        <f t="shared" si="4"/>
        <v>35</v>
      </c>
      <c r="H87" s="526">
        <v>0.6</v>
      </c>
      <c r="I87" s="526">
        <v>1.25</v>
      </c>
      <c r="J87" s="526"/>
      <c r="K87" s="548">
        <f t="shared" si="3"/>
        <v>26.25</v>
      </c>
      <c r="M87" s="379"/>
    </row>
    <row r="88" spans="3:13" ht="29.25" hidden="1" customHeight="1">
      <c r="C88" s="502" t="str">
        <f>+Resúmen!C205</f>
        <v>01.02.12.09</v>
      </c>
      <c r="D88" s="515" t="str">
        <f>+Resúmen!D205</f>
        <v>TUBERÍA PVC-U UF NTP ISO 4435 SN 2 DN 250 INCL. ANILLO + 2% DESPERDICIOS</v>
      </c>
      <c r="E88" s="503" t="str">
        <f>+Resúmen!E205</f>
        <v>M</v>
      </c>
      <c r="F88" s="503">
        <v>1</v>
      </c>
      <c r="G88" s="526">
        <f t="shared" si="4"/>
        <v>35</v>
      </c>
      <c r="H88" s="526"/>
      <c r="I88" s="526"/>
      <c r="J88" s="526"/>
      <c r="K88" s="548">
        <f t="shared" si="3"/>
        <v>35</v>
      </c>
      <c r="M88" s="379"/>
    </row>
    <row r="89" spans="3:13" ht="29.25" hidden="1" customHeight="1">
      <c r="C89" s="502" t="str">
        <f>+Resúmen!C206</f>
        <v>01.02.12.10</v>
      </c>
      <c r="D89" s="515" t="str">
        <f>+Resúmen!D206</f>
        <v>INSTALACIÓN DE TUBERÍA DE PVC P/DESAGÜE DN 250 INCLUYE PRUEBA HIDRÁULICA</v>
      </c>
      <c r="E89" s="503" t="str">
        <f>+Resúmen!E206</f>
        <v>M</v>
      </c>
      <c r="F89" s="503">
        <v>1</v>
      </c>
      <c r="G89" s="526">
        <f t="shared" si="4"/>
        <v>35</v>
      </c>
      <c r="H89" s="526"/>
      <c r="I89" s="526"/>
      <c r="J89" s="526"/>
      <c r="K89" s="548">
        <f t="shared" si="3"/>
        <v>35</v>
      </c>
      <c r="M89" s="379"/>
    </row>
    <row r="90" spans="3:13" ht="29.25" hidden="1" customHeight="1">
      <c r="C90" s="502" t="str">
        <f>+Resúmen!C207</f>
        <v>01.02.12.11</v>
      </c>
      <c r="D90" s="515" t="str">
        <f>+Resúmen!D207</f>
        <v>CODO DE PVC-U UF DE 45° DN 250</v>
      </c>
      <c r="E90" s="503" t="str">
        <f>+Resúmen!E207</f>
        <v>UND</v>
      </c>
      <c r="F90" s="503">
        <v>1</v>
      </c>
      <c r="G90" s="526">
        <v>4</v>
      </c>
      <c r="H90" s="526"/>
      <c r="I90" s="526"/>
      <c r="J90" s="526"/>
      <c r="K90" s="548">
        <f t="shared" si="3"/>
        <v>4</v>
      </c>
      <c r="M90" s="379"/>
    </row>
    <row r="91" spans="3:13" ht="29.25" hidden="1" customHeight="1">
      <c r="C91" s="502" t="str">
        <f>+Resúmen!C208</f>
        <v>01.02.12.12</v>
      </c>
      <c r="D91" s="515" t="str">
        <f>+Resúmen!D208</f>
        <v>PRUEBA HIDRÁULICA DE TUBERÍA P/DESAGUE DN 250</v>
      </c>
      <c r="E91" s="503" t="str">
        <f>+Resúmen!E208</f>
        <v>M</v>
      </c>
      <c r="F91" s="503">
        <v>1</v>
      </c>
      <c r="G91" s="526">
        <f>+G89</f>
        <v>35</v>
      </c>
      <c r="H91" s="526"/>
      <c r="I91" s="526"/>
      <c r="J91" s="526"/>
      <c r="K91" s="548">
        <f t="shared" si="3"/>
        <v>35</v>
      </c>
      <c r="M91" s="379"/>
    </row>
    <row r="92" spans="3:13" ht="29.25" hidden="1" customHeight="1">
      <c r="C92" s="502" t="str">
        <f>+Resúmen!C209</f>
        <v>01.02.12.13</v>
      </c>
      <c r="D92" s="515" t="str">
        <f>+Resúmen!D209</f>
        <v>BUZÓN I TERRENO ROCOSO SIN EXPLOSIVO DE 1,26 A 1,50 M PROF. (ENCOFRADO INTERIOR)</v>
      </c>
      <c r="E92" s="503" t="str">
        <f>+Resúmen!E209</f>
        <v>M</v>
      </c>
      <c r="F92" s="503">
        <v>1</v>
      </c>
      <c r="G92" s="526"/>
      <c r="H92" s="526"/>
      <c r="I92" s="526"/>
      <c r="J92" s="526"/>
      <c r="K92" s="548">
        <f t="shared" ref="K92" si="5">+PRODUCT(F92:I92)</f>
        <v>1</v>
      </c>
      <c r="M92" s="379"/>
    </row>
    <row r="93" spans="3:13" ht="29.25" hidden="1" customHeight="1">
      <c r="C93" s="502" t="str">
        <f>+Resúmen!C210</f>
        <v>01.02.12.14</v>
      </c>
      <c r="D93" s="515" t="str">
        <f>+Resúmen!D210</f>
        <v>EMPALMES DE TUBERÍAS DN 200 A 250 BUZÓN EXISTENTE EN SERVICIO</v>
      </c>
      <c r="E93" s="503" t="str">
        <f>+Resúmen!E210</f>
        <v>UND</v>
      </c>
      <c r="F93" s="503">
        <v>1</v>
      </c>
      <c r="G93" s="526">
        <v>2</v>
      </c>
      <c r="H93" s="526"/>
      <c r="I93" s="526"/>
      <c r="J93" s="526"/>
      <c r="K93" s="548">
        <f t="shared" si="3"/>
        <v>2</v>
      </c>
      <c r="M93" s="379"/>
    </row>
    <row r="94" spans="3:13" ht="29.25" hidden="1" customHeight="1">
      <c r="C94" s="502" t="str">
        <f>+Resúmen!C211</f>
        <v>01.02.12.15</v>
      </c>
      <c r="D94" s="515" t="str">
        <f>+Resúmen!D211</f>
        <v>ADITIVO POLIEPOX "O" UNIVERSAL PEGA CONCRETO NUEVO-VIEJO</v>
      </c>
      <c r="E94" s="503" t="str">
        <f>+Resúmen!E211</f>
        <v>UND</v>
      </c>
      <c r="F94" s="503">
        <v>1</v>
      </c>
      <c r="G94" s="526">
        <v>1</v>
      </c>
      <c r="H94" s="526"/>
      <c r="I94" s="526"/>
      <c r="J94" s="526"/>
      <c r="K94" s="548">
        <f t="shared" si="3"/>
        <v>1</v>
      </c>
      <c r="M94" s="379"/>
    </row>
    <row r="95" spans="3:13" ht="29.25" hidden="1" customHeight="1">
      <c r="C95" s="510" t="str">
        <f>+Resúmen!C212</f>
        <v>01</v>
      </c>
      <c r="D95" s="524" t="s">
        <v>731</v>
      </c>
      <c r="E95" s="511" t="s">
        <v>156</v>
      </c>
      <c r="F95" s="511">
        <v>0</v>
      </c>
      <c r="G95" s="530"/>
      <c r="H95" s="530"/>
      <c r="I95" s="530"/>
      <c r="J95" s="530"/>
      <c r="K95" s="548">
        <f t="shared" si="3"/>
        <v>0</v>
      </c>
      <c r="M95" s="379"/>
    </row>
    <row r="96" spans="3:13" ht="29.25" hidden="1" customHeight="1">
      <c r="C96" s="500" t="str">
        <f>+Resúmen!C219</f>
        <v>01.02</v>
      </c>
      <c r="D96" s="520" t="str">
        <f>+Resúmen!D219</f>
        <v>LINEA DE IMPULSIÓN FRENTE - 02</v>
      </c>
      <c r="E96" s="501" t="str">
        <f>+Resúmen!E219</f>
        <v/>
      </c>
      <c r="F96" s="501">
        <v>0</v>
      </c>
      <c r="G96" s="531"/>
      <c r="H96" s="531"/>
      <c r="I96" s="531"/>
      <c r="J96" s="531"/>
      <c r="K96" s="548">
        <f t="shared" si="3"/>
        <v>0</v>
      </c>
      <c r="M96" s="379"/>
    </row>
    <row r="97" spans="3:13" ht="29.25" hidden="1" customHeight="1">
      <c r="C97" s="504" t="str">
        <f>+Resúmen!C220</f>
        <v>01.02.01</v>
      </c>
      <c r="D97" s="521" t="str">
        <f>+Resúmen!D220</f>
        <v>TRABAJOS PRELIMINARES</v>
      </c>
      <c r="E97" s="505" t="str">
        <f>+Resúmen!E220</f>
        <v/>
      </c>
      <c r="F97" s="505">
        <v>0</v>
      </c>
      <c r="G97" s="527"/>
      <c r="H97" s="527"/>
      <c r="I97" s="527"/>
      <c r="J97" s="527"/>
      <c r="K97" s="548">
        <f t="shared" si="3"/>
        <v>0</v>
      </c>
      <c r="M97" s="379"/>
    </row>
    <row r="98" spans="3:13" ht="29.25" hidden="1" customHeight="1">
      <c r="C98" s="502" t="str">
        <f>+Resúmen!C231</f>
        <v>01.02.01.11</v>
      </c>
      <c r="D98" s="515" t="str">
        <f>+Resúmen!D231</f>
        <v>TRANSPORTE A ZONA S/ACCESO:MAT.,DESMONTE P/LÍNEA DN 100 - 150 T-ROCOSO</v>
      </c>
      <c r="E98" s="503" t="str">
        <f>+Resúmen!E231</f>
        <v>M</v>
      </c>
      <c r="F98" s="503">
        <v>1</v>
      </c>
      <c r="G98" s="526">
        <f>+SUM(G99:G105)</f>
        <v>200.79999999999995</v>
      </c>
      <c r="H98" s="526"/>
      <c r="I98" s="526"/>
      <c r="J98" s="526"/>
      <c r="K98" s="548">
        <f t="shared" si="3"/>
        <v>200.79999999999995</v>
      </c>
      <c r="M98" s="379"/>
    </row>
    <row r="99" spans="3:13" hidden="1">
      <c r="C99" s="502"/>
      <c r="D99" s="533" t="s">
        <v>1118</v>
      </c>
      <c r="E99" s="503"/>
      <c r="F99" s="503"/>
      <c r="G99" s="526">
        <v>10.74</v>
      </c>
      <c r="H99" s="526"/>
      <c r="I99" s="526"/>
      <c r="J99" s="526"/>
      <c r="K99" s="548"/>
      <c r="M99" s="379"/>
    </row>
    <row r="100" spans="3:13" hidden="1">
      <c r="C100" s="502"/>
      <c r="D100" s="533" t="s">
        <v>1119</v>
      </c>
      <c r="E100" s="503"/>
      <c r="F100" s="503"/>
      <c r="G100" s="526">
        <v>63.67</v>
      </c>
      <c r="H100" s="526"/>
      <c r="I100" s="526"/>
      <c r="J100" s="526"/>
      <c r="K100" s="548"/>
      <c r="M100" s="379"/>
    </row>
    <row r="101" spans="3:13" hidden="1">
      <c r="C101" s="502"/>
      <c r="D101" s="533" t="s">
        <v>1120</v>
      </c>
      <c r="E101" s="503"/>
      <c r="F101" s="503"/>
      <c r="G101" s="526">
        <v>16.75</v>
      </c>
      <c r="H101" s="526"/>
      <c r="I101" s="526"/>
      <c r="J101" s="526"/>
      <c r="K101" s="548"/>
      <c r="M101" s="379"/>
    </row>
    <row r="102" spans="3:13" hidden="1">
      <c r="C102" s="502"/>
      <c r="D102" s="533" t="s">
        <v>1121</v>
      </c>
      <c r="E102" s="503"/>
      <c r="F102" s="503"/>
      <c r="G102" s="526">
        <v>12.54</v>
      </c>
      <c r="H102" s="526"/>
      <c r="I102" s="526"/>
      <c r="J102" s="526"/>
      <c r="K102" s="548"/>
      <c r="M102" s="379"/>
    </row>
    <row r="103" spans="3:13" hidden="1">
      <c r="C103" s="502"/>
      <c r="D103" s="533" t="s">
        <v>1122</v>
      </c>
      <c r="E103" s="503"/>
      <c r="F103" s="503"/>
      <c r="G103" s="526">
        <v>35.1</v>
      </c>
      <c r="H103" s="526"/>
      <c r="I103" s="526"/>
      <c r="J103" s="526"/>
      <c r="K103" s="548"/>
      <c r="M103" s="379"/>
    </row>
    <row r="104" spans="3:13" hidden="1">
      <c r="C104" s="502"/>
      <c r="D104" s="533" t="s">
        <v>1123</v>
      </c>
      <c r="E104" s="503"/>
      <c r="F104" s="503"/>
      <c r="G104" s="526">
        <v>47.05</v>
      </c>
      <c r="H104" s="526"/>
      <c r="I104" s="526"/>
      <c r="J104" s="526"/>
      <c r="K104" s="548"/>
      <c r="M104" s="379"/>
    </row>
    <row r="105" spans="3:13" hidden="1">
      <c r="C105" s="502"/>
      <c r="D105" s="533" t="s">
        <v>1124</v>
      </c>
      <c r="E105" s="503"/>
      <c r="F105" s="503"/>
      <c r="G105" s="526">
        <v>14.95</v>
      </c>
      <c r="H105" s="526"/>
      <c r="I105" s="526"/>
      <c r="J105" s="526"/>
      <c r="K105" s="548"/>
      <c r="M105" s="379"/>
    </row>
    <row r="106" spans="3:13" hidden="1">
      <c r="C106" s="502"/>
      <c r="D106" s="515"/>
      <c r="E106" s="503"/>
      <c r="F106" s="503"/>
      <c r="G106" s="526"/>
      <c r="H106" s="526"/>
      <c r="I106" s="526"/>
      <c r="J106" s="526"/>
      <c r="K106" s="548"/>
      <c r="M106" s="379"/>
    </row>
    <row r="107" spans="3:13" ht="29.25" hidden="1" customHeight="1">
      <c r="C107" s="502" t="str">
        <f>+Resúmen!C232</f>
        <v>01.02.01.12</v>
      </c>
      <c r="D107" s="515" t="str">
        <f>+Resúmen!D232</f>
        <v>PROTECCION DE REDES EXISTENTES DE DN 100 A 150</v>
      </c>
      <c r="E107" s="503" t="str">
        <f>+Resúmen!E232</f>
        <v>UND</v>
      </c>
      <c r="F107" s="503">
        <v>1</v>
      </c>
      <c r="G107" s="526">
        <v>15</v>
      </c>
      <c r="H107" s="526"/>
      <c r="I107" s="526"/>
      <c r="J107" s="526"/>
      <c r="K107" s="548">
        <f t="shared" ref="K107:K149" si="6">+PRODUCT(F107:I107)</f>
        <v>15</v>
      </c>
      <c r="M107" s="379"/>
    </row>
    <row r="108" spans="3:13" ht="29.25" hidden="1" customHeight="1">
      <c r="C108" s="502" t="str">
        <f>+Resúmen!C233</f>
        <v>01.02.01.13</v>
      </c>
      <c r="D108" s="515" t="str">
        <f>+Resúmen!D233</f>
        <v>PROTECCION DE REDES EXISTENTES DE DN 200 A 250</v>
      </c>
      <c r="E108" s="503" t="str">
        <f>+Resúmen!E233</f>
        <v>UND</v>
      </c>
      <c r="F108" s="503">
        <v>1</v>
      </c>
      <c r="G108" s="526">
        <v>16</v>
      </c>
      <c r="H108" s="526"/>
      <c r="I108" s="526"/>
      <c r="J108" s="526"/>
      <c r="K108" s="548">
        <f t="shared" si="6"/>
        <v>16</v>
      </c>
      <c r="M108" s="379"/>
    </row>
    <row r="109" spans="3:13" ht="29.25" hidden="1" customHeight="1">
      <c r="C109" s="502" t="str">
        <f>+Resúmen!C234</f>
        <v>01.02.01.14</v>
      </c>
      <c r="D109" s="515" t="str">
        <f>+Resúmen!D234</f>
        <v>PROTECCION DE CONEXIONES DOMICILIARIAS DE AGUA POTABLE</v>
      </c>
      <c r="E109" s="503" t="str">
        <f>+Resúmen!E234</f>
        <v>UND</v>
      </c>
      <c r="F109" s="503">
        <v>1</v>
      </c>
      <c r="G109" s="526">
        <v>31</v>
      </c>
      <c r="H109" s="526"/>
      <c r="I109" s="526"/>
      <c r="J109" s="526"/>
      <c r="K109" s="548">
        <f t="shared" si="6"/>
        <v>31</v>
      </c>
      <c r="M109" s="379"/>
    </row>
    <row r="110" spans="3:13" ht="29.25" hidden="1" customHeight="1">
      <c r="C110" s="502" t="str">
        <f>+Resúmen!C235</f>
        <v>01.02.01.15</v>
      </c>
      <c r="D110" s="515" t="str">
        <f>+Resúmen!D235</f>
        <v>PROTECCION DE CONEXIONES DOMICILIARIAS DE DESAGÜE</v>
      </c>
      <c r="E110" s="503" t="str">
        <f>+Resúmen!E235</f>
        <v>UND</v>
      </c>
      <c r="F110" s="503">
        <v>1</v>
      </c>
      <c r="G110" s="526">
        <v>29</v>
      </c>
      <c r="H110" s="526"/>
      <c r="I110" s="526"/>
      <c r="J110" s="526"/>
      <c r="K110" s="548">
        <f t="shared" si="6"/>
        <v>29</v>
      </c>
      <c r="M110" s="379"/>
    </row>
    <row r="111" spans="3:13" ht="29.25" hidden="1" customHeight="1">
      <c r="C111" s="502" t="str">
        <f>+Resúmen!C236</f>
        <v>01.02.01.16</v>
      </c>
      <c r="D111" s="515" t="str">
        <f>+Resúmen!D236</f>
        <v>PROTECCION DE POSTES PARA ALUMBRADO - TELEFONO</v>
      </c>
      <c r="E111" s="503" t="str">
        <f>+Resúmen!E236</f>
        <v>UND</v>
      </c>
      <c r="F111" s="503">
        <v>1</v>
      </c>
      <c r="G111" s="526">
        <v>12</v>
      </c>
      <c r="H111" s="526"/>
      <c r="I111" s="526"/>
      <c r="J111" s="526"/>
      <c r="K111" s="548">
        <f t="shared" si="6"/>
        <v>12</v>
      </c>
      <c r="M111" s="379"/>
    </row>
    <row r="112" spans="3:13" ht="29.25" hidden="1" customHeight="1">
      <c r="C112" s="502" t="str">
        <f>+Resúmen!C237</f>
        <v>01.02.01.17</v>
      </c>
      <c r="D112" s="515" t="str">
        <f>+Resúmen!D237</f>
        <v>PROTECCION DE CABLE ELÉCTRICO DE BAJA TENSIÓN</v>
      </c>
      <c r="E112" s="503" t="str">
        <f>+Resúmen!E237</f>
        <v>UND</v>
      </c>
      <c r="F112" s="503">
        <v>1</v>
      </c>
      <c r="G112" s="526">
        <v>5</v>
      </c>
      <c r="H112" s="526"/>
      <c r="I112" s="526"/>
      <c r="J112" s="526"/>
      <c r="K112" s="548">
        <f t="shared" si="6"/>
        <v>5</v>
      </c>
      <c r="M112" s="379"/>
    </row>
    <row r="113" spans="3:13" ht="29.25" hidden="1" customHeight="1">
      <c r="C113" s="502" t="str">
        <f>+Resúmen!C238</f>
        <v>01.02.01.18</v>
      </c>
      <c r="D113" s="515" t="str">
        <f>+Resúmen!D238</f>
        <v>PROTECCION DE CABLES TELEFÓNICOS</v>
      </c>
      <c r="E113" s="503" t="str">
        <f>+Resúmen!E238</f>
        <v>UND</v>
      </c>
      <c r="F113" s="503">
        <v>1</v>
      </c>
      <c r="G113" s="526">
        <v>1</v>
      </c>
      <c r="H113" s="526"/>
      <c r="I113" s="526"/>
      <c r="J113" s="526"/>
      <c r="K113" s="548">
        <f t="shared" si="6"/>
        <v>1</v>
      </c>
      <c r="M113" s="379"/>
    </row>
    <row r="114" spans="3:13" ht="29.25" hidden="1" customHeight="1">
      <c r="C114" s="504" t="str">
        <f>+Resúmen!C290</f>
        <v>01.02.06</v>
      </c>
      <c r="D114" s="521" t="str">
        <f>+Resúmen!D290</f>
        <v>MEJORAMIENTO DE INSTALACIONES HIDRÁULICAS EN ESTRUCTURAS EXISTENTES</v>
      </c>
      <c r="E114" s="505" t="s">
        <v>156</v>
      </c>
      <c r="F114" s="505">
        <v>0</v>
      </c>
      <c r="G114" s="527"/>
      <c r="H114" s="527"/>
      <c r="I114" s="527"/>
      <c r="J114" s="527"/>
      <c r="K114" s="548">
        <f t="shared" si="6"/>
        <v>0</v>
      </c>
      <c r="M114" s="379"/>
    </row>
    <row r="115" spans="3:13" ht="29.25" hidden="1" customHeight="1">
      <c r="C115" s="506" t="str">
        <f>+Resúmen!C291</f>
        <v>01.02.06.01</v>
      </c>
      <c r="D115" s="522" t="str">
        <f>+Resúmen!D291</f>
        <v>CISTERNA CR-155</v>
      </c>
      <c r="E115" s="507" t="s">
        <v>156</v>
      </c>
      <c r="F115" s="507">
        <v>0</v>
      </c>
      <c r="G115" s="528"/>
      <c r="H115" s="528"/>
      <c r="I115" s="528"/>
      <c r="J115" s="528"/>
      <c r="K115" s="548">
        <f t="shared" si="6"/>
        <v>0</v>
      </c>
      <c r="M115" s="379"/>
    </row>
    <row r="116" spans="3:13" ht="29.25" hidden="1" customHeight="1">
      <c r="C116" s="502" t="str">
        <f>+Resúmen!C292</f>
        <v>01.02.06.01.01</v>
      </c>
      <c r="D116" s="515" t="str">
        <f>+Resúmen!D292</f>
        <v>DADO PARA SOPORTE DE INSTALACIONES HIDRÁULICAS</v>
      </c>
      <c r="E116" s="503" t="str">
        <f>+Resúmen!E292</f>
        <v>UND</v>
      </c>
      <c r="F116" s="503">
        <v>1</v>
      </c>
      <c r="G116" s="526">
        <v>2</v>
      </c>
      <c r="H116" s="526"/>
      <c r="I116" s="526"/>
      <c r="J116" s="526"/>
      <c r="K116" s="548">
        <f t="shared" si="6"/>
        <v>2</v>
      </c>
      <c r="M116" s="379"/>
    </row>
    <row r="117" spans="3:13" ht="29.25" hidden="1" customHeight="1">
      <c r="C117" s="502" t="str">
        <f>+Resúmen!C293</f>
        <v>01.02.06.01.02</v>
      </c>
      <c r="D117" s="515" t="str">
        <f>+Resúmen!D293</f>
        <v>PICADO Y RESANES DE MURO PARA NUEVAS INSTALACIONES HIDRAULICAS (PASES)</v>
      </c>
      <c r="E117" s="503" t="str">
        <f>+Resúmen!E293</f>
        <v>UND</v>
      </c>
      <c r="F117" s="503">
        <v>1</v>
      </c>
      <c r="G117" s="526">
        <v>1</v>
      </c>
      <c r="H117" s="526"/>
      <c r="I117" s="526"/>
      <c r="J117" s="526"/>
      <c r="K117" s="548">
        <f t="shared" si="6"/>
        <v>1</v>
      </c>
      <c r="M117" s="379"/>
    </row>
    <row r="118" spans="3:13" ht="29.25" hidden="1" customHeight="1">
      <c r="C118" s="502" t="str">
        <f>+Resúmen!C294</f>
        <v>01.02.06.01.03</v>
      </c>
      <c r="D118" s="515" t="str">
        <f>+Resúmen!D294</f>
        <v>CONCRETO F'C 210 KG/CM2 PARA ANCLAJES DE ACCESORIOS DN 110 - 160</v>
      </c>
      <c r="E118" s="503" t="str">
        <f>+Resúmen!E294</f>
        <v>UND</v>
      </c>
      <c r="F118" s="503">
        <v>1</v>
      </c>
      <c r="G118" s="526">
        <v>2</v>
      </c>
      <c r="H118" s="526"/>
      <c r="I118" s="526"/>
      <c r="J118" s="526"/>
      <c r="K118" s="548">
        <f t="shared" si="6"/>
        <v>2</v>
      </c>
      <c r="M118" s="379"/>
    </row>
    <row r="119" spans="3:13" ht="29.25" hidden="1" customHeight="1">
      <c r="C119" s="502" t="str">
        <f>+Resúmen!C295</f>
        <v>01.02.06.01.04</v>
      </c>
      <c r="D119" s="515" t="str">
        <f>+Resúmen!D295</f>
        <v>CORTE, RETIRO Y CIERRE DE TUBERÍA DE IMPULSIÓN EXISTENTE.</v>
      </c>
      <c r="E119" s="503" t="str">
        <f>+Resúmen!E295</f>
        <v>UND</v>
      </c>
      <c r="F119" s="503">
        <v>1</v>
      </c>
      <c r="G119" s="526">
        <v>1</v>
      </c>
      <c r="H119" s="526"/>
      <c r="I119" s="526"/>
      <c r="J119" s="526"/>
      <c r="K119" s="548">
        <f t="shared" si="6"/>
        <v>1</v>
      </c>
      <c r="M119" s="379"/>
    </row>
    <row r="120" spans="3:13" ht="29.25" hidden="1" customHeight="1">
      <c r="C120" s="502" t="str">
        <f>+Resúmen!C296</f>
        <v>01.02.06.01.05</v>
      </c>
      <c r="D120" s="515" t="str">
        <f>+Resúmen!D296</f>
        <v>TUBERÍA DE ACERO SHC-40 P/EQUIPAMIENTO DN 150 INCLUYE 1% DE DESPERDICIO</v>
      </c>
      <c r="E120" s="503" t="str">
        <f>+Resúmen!E296</f>
        <v>M</v>
      </c>
      <c r="F120" s="503">
        <v>1</v>
      </c>
      <c r="G120" s="526">
        <v>3.1</v>
      </c>
      <c r="H120" s="526"/>
      <c r="I120" s="526"/>
      <c r="J120" s="526"/>
      <c r="K120" s="548">
        <f t="shared" si="6"/>
        <v>3.1</v>
      </c>
      <c r="M120" s="379"/>
    </row>
    <row r="121" spans="3:13" ht="29.25" hidden="1" customHeight="1">
      <c r="C121" s="502" t="str">
        <f>+Resúmen!C297</f>
        <v>01.02.06.01.06</v>
      </c>
      <c r="D121" s="515" t="str">
        <f>+Resúmen!D297</f>
        <v>CODO DE HIERRO DÚCTIL DE 45° (1/8) 2 BRIDAS PN 16 DN 150</v>
      </c>
      <c r="E121" s="503" t="str">
        <f>+Resúmen!E297</f>
        <v>UND</v>
      </c>
      <c r="F121" s="503">
        <v>1</v>
      </c>
      <c r="G121" s="526">
        <v>4</v>
      </c>
      <c r="H121" s="526"/>
      <c r="I121" s="526"/>
      <c r="J121" s="526"/>
      <c r="K121" s="548">
        <f t="shared" si="6"/>
        <v>4</v>
      </c>
      <c r="M121" s="379"/>
    </row>
    <row r="122" spans="3:13" ht="29.25" hidden="1" customHeight="1">
      <c r="C122" s="502" t="str">
        <f>+Resúmen!C298</f>
        <v>01.02.06.01.07</v>
      </c>
      <c r="D122" s="515" t="str">
        <f>+Resúmen!D298</f>
        <v>TEE DE HIERRO DÚCTIL CON 3 BRIDAS PN 16 DN 150 X 50</v>
      </c>
      <c r="E122" s="503" t="str">
        <f>+Resúmen!E298</f>
        <v>UND</v>
      </c>
      <c r="F122" s="503">
        <v>1</v>
      </c>
      <c r="G122" s="526">
        <v>1</v>
      </c>
      <c r="H122" s="526"/>
      <c r="I122" s="526"/>
      <c r="J122" s="526"/>
      <c r="K122" s="548">
        <f t="shared" si="6"/>
        <v>1</v>
      </c>
      <c r="M122" s="379"/>
    </row>
    <row r="123" spans="3:13" ht="29.25" hidden="1" customHeight="1">
      <c r="C123" s="502" t="str">
        <f>+Resúmen!C299</f>
        <v>01.02.06.01.08</v>
      </c>
      <c r="D123" s="515" t="str">
        <f>+Resúmen!D299</f>
        <v>TRANSICION ACERO BRIDA ENCHUFE DN 150 MM</v>
      </c>
      <c r="E123" s="503" t="str">
        <f>+Resúmen!E299</f>
        <v>UND</v>
      </c>
      <c r="F123" s="503">
        <v>1</v>
      </c>
      <c r="G123" s="526">
        <v>1</v>
      </c>
      <c r="H123" s="526"/>
      <c r="I123" s="526"/>
      <c r="J123" s="526"/>
      <c r="K123" s="548">
        <f t="shared" si="6"/>
        <v>1</v>
      </c>
      <c r="M123" s="379"/>
    </row>
    <row r="124" spans="3:13" ht="29.25" hidden="1" customHeight="1">
      <c r="C124" s="502" t="str">
        <f>+Resúmen!C300</f>
        <v>01.02.06.01.09</v>
      </c>
      <c r="D124" s="515" t="str">
        <f>+Resúmen!D300</f>
        <v>REDUCCIÓN HIERRO DÚCTIL 2 BRIDAS PN 16 DN 150 A 100</v>
      </c>
      <c r="E124" s="503" t="str">
        <f>+Resúmen!E300</f>
        <v>UND</v>
      </c>
      <c r="F124" s="503">
        <v>1</v>
      </c>
      <c r="G124" s="526">
        <v>1</v>
      </c>
      <c r="H124" s="526"/>
      <c r="I124" s="526"/>
      <c r="J124" s="526"/>
      <c r="K124" s="548">
        <f t="shared" si="6"/>
        <v>1</v>
      </c>
      <c r="M124" s="379"/>
    </row>
    <row r="125" spans="3:13" ht="29.25" hidden="1" customHeight="1">
      <c r="C125" s="502" t="str">
        <f>+Resúmen!C301</f>
        <v>01.02.06.01.10</v>
      </c>
      <c r="D125" s="515" t="str">
        <f>+Resúmen!D301</f>
        <v>UNIÓN DE DESMONTAJE AUTOPORTANTE DN 150 MM</v>
      </c>
      <c r="E125" s="503" t="str">
        <f>+Resúmen!E301</f>
        <v>UND</v>
      </c>
      <c r="F125" s="503">
        <v>1</v>
      </c>
      <c r="G125" s="526">
        <v>1</v>
      </c>
      <c r="H125" s="526"/>
      <c r="I125" s="526"/>
      <c r="J125" s="526"/>
      <c r="K125" s="548">
        <f t="shared" si="6"/>
        <v>1</v>
      </c>
      <c r="M125" s="379"/>
    </row>
    <row r="126" spans="3:13" ht="29.25" hidden="1" customHeight="1">
      <c r="C126" s="502" t="e">
        <f>+Resúmen!#REF!</f>
        <v>#REF!</v>
      </c>
      <c r="D126" s="515" t="e">
        <f>+Resúmen!#REF!</f>
        <v>#REF!</v>
      </c>
      <c r="E126" s="503" t="e">
        <f>+Resúmen!#REF!</f>
        <v>#REF!</v>
      </c>
      <c r="F126" s="503">
        <v>1</v>
      </c>
      <c r="G126" s="526">
        <v>1</v>
      </c>
      <c r="H126" s="526"/>
      <c r="I126" s="526"/>
      <c r="J126" s="526"/>
      <c r="K126" s="548">
        <f t="shared" si="6"/>
        <v>1</v>
      </c>
      <c r="M126" s="379"/>
    </row>
    <row r="127" spans="3:13" ht="29.25" hidden="1" customHeight="1">
      <c r="C127" s="502" t="str">
        <f>+Resúmen!C302</f>
        <v>01.02.06.01.11</v>
      </c>
      <c r="D127" s="515" t="str">
        <f>+Resúmen!D302</f>
        <v>BRIDA DE ACERO PARA SOLDAR Y EMPERNAR DN 150</v>
      </c>
      <c r="E127" s="503" t="str">
        <f>+Resúmen!E302</f>
        <v>UND</v>
      </c>
      <c r="F127" s="503">
        <v>1</v>
      </c>
      <c r="G127" s="526">
        <v>6</v>
      </c>
      <c r="H127" s="526"/>
      <c r="I127" s="526"/>
      <c r="J127" s="526"/>
      <c r="K127" s="548">
        <f t="shared" si="6"/>
        <v>6</v>
      </c>
      <c r="M127" s="379"/>
    </row>
    <row r="128" spans="3:13" ht="29.25" hidden="1" customHeight="1">
      <c r="C128" s="502" t="str">
        <f>+Resúmen!C303</f>
        <v>01.02.06.01.12</v>
      </c>
      <c r="D128" s="515" t="str">
        <f>+Resúmen!D303</f>
        <v>EMPAQUETADURA DE JEBE ENLONADA DN 150</v>
      </c>
      <c r="E128" s="503" t="str">
        <f>+Resúmen!E303</f>
        <v>UND</v>
      </c>
      <c r="F128" s="503">
        <v>1</v>
      </c>
      <c r="G128" s="526">
        <v>10</v>
      </c>
      <c r="H128" s="526"/>
      <c r="I128" s="526"/>
      <c r="J128" s="526"/>
      <c r="K128" s="548">
        <f t="shared" si="6"/>
        <v>10</v>
      </c>
      <c r="M128" s="379"/>
    </row>
    <row r="129" spans="3:13" ht="29.25" hidden="1" customHeight="1">
      <c r="C129" s="502" t="str">
        <f>+Resúmen!C304</f>
        <v>01.02.06.01.13</v>
      </c>
      <c r="D129" s="515" t="str">
        <f>+Resúmen!D304</f>
        <v>EMPAQUETADURA DE JEBE ENLONADA DN 100</v>
      </c>
      <c r="E129" s="503" t="str">
        <f>+Resúmen!E304</f>
        <v>UND</v>
      </c>
      <c r="F129" s="503">
        <v>1</v>
      </c>
      <c r="G129" s="526">
        <v>1</v>
      </c>
      <c r="H129" s="526"/>
      <c r="I129" s="526"/>
      <c r="J129" s="526"/>
      <c r="K129" s="548">
        <f t="shared" si="6"/>
        <v>1</v>
      </c>
      <c r="M129" s="379"/>
    </row>
    <row r="130" spans="3:13" ht="29.25" hidden="1" customHeight="1">
      <c r="C130" s="502" t="str">
        <f>+Resúmen!C305</f>
        <v>01.02.06.01.14</v>
      </c>
      <c r="D130" s="515" t="str">
        <f>+Resúmen!D305</f>
        <v>ABRAZADERA DE ACERO DN 150</v>
      </c>
      <c r="E130" s="503" t="str">
        <f>+Resúmen!E305</f>
        <v>UND</v>
      </c>
      <c r="F130" s="503">
        <v>1</v>
      </c>
      <c r="G130" s="526">
        <v>2</v>
      </c>
      <c r="H130" s="526"/>
      <c r="I130" s="526"/>
      <c r="J130" s="526"/>
      <c r="K130" s="548">
        <f t="shared" si="6"/>
        <v>2</v>
      </c>
      <c r="M130" s="379"/>
    </row>
    <row r="131" spans="3:13" ht="29.25" hidden="1" customHeight="1">
      <c r="C131" s="502" t="str">
        <f>+Resúmen!C306</f>
        <v>01.02.06.01.15</v>
      </c>
      <c r="D131" s="515" t="str">
        <f>+Resúmen!D306</f>
        <v>PERNO DE ACERO INCLUYE TUERCA PARA UNIR BRIDAS DN 150</v>
      </c>
      <c r="E131" s="503" t="str">
        <f>+Resúmen!E306</f>
        <v>UND</v>
      </c>
      <c r="F131" s="503">
        <v>1</v>
      </c>
      <c r="G131" s="526">
        <f>+G128*8</f>
        <v>80</v>
      </c>
      <c r="H131" s="526"/>
      <c r="I131" s="526"/>
      <c r="J131" s="526"/>
      <c r="K131" s="548">
        <f t="shared" si="6"/>
        <v>80</v>
      </c>
      <c r="M131" s="379"/>
    </row>
    <row r="132" spans="3:13" ht="29.25" hidden="1" customHeight="1">
      <c r="C132" s="502" t="str">
        <f>+Resúmen!C307</f>
        <v>01.02.06.01.16</v>
      </c>
      <c r="D132" s="515" t="str">
        <f>+Resúmen!D307</f>
        <v>PERNO DE ACERO INCLUYE TUERCA PARA UNIR BRIDAS DN 100</v>
      </c>
      <c r="E132" s="503" t="str">
        <f>+Resúmen!E307</f>
        <v>UND</v>
      </c>
      <c r="F132" s="503">
        <v>1</v>
      </c>
      <c r="G132" s="526">
        <f>+G129*8</f>
        <v>8</v>
      </c>
      <c r="H132" s="526"/>
      <c r="I132" s="526"/>
      <c r="J132" s="526"/>
      <c r="K132" s="548">
        <f t="shared" si="6"/>
        <v>8</v>
      </c>
      <c r="M132" s="379"/>
    </row>
    <row r="133" spans="3:13" ht="29.25" hidden="1" customHeight="1">
      <c r="C133" s="502" t="str">
        <f>+Resúmen!C308</f>
        <v>01.02.06.01.17</v>
      </c>
      <c r="D133" s="515" t="str">
        <f>+Resúmen!D308</f>
        <v>VÁLVULA CPTA.BB, HO.DÚCTIL CIERRE ELÁST. VÁSTAGO ACERO INOXIDABLE DN 50</v>
      </c>
      <c r="E133" s="503" t="str">
        <f>+Resúmen!E308</f>
        <v>UND</v>
      </c>
      <c r="F133" s="503">
        <v>1</v>
      </c>
      <c r="G133" s="526">
        <v>1</v>
      </c>
      <c r="H133" s="526"/>
      <c r="I133" s="526"/>
      <c r="J133" s="526"/>
      <c r="K133" s="548">
        <f t="shared" si="6"/>
        <v>1</v>
      </c>
      <c r="M133" s="379"/>
    </row>
    <row r="134" spans="3:13" ht="29.25" hidden="1" customHeight="1">
      <c r="C134" s="502" t="str">
        <f>+Resúmen!C309</f>
        <v>01.02.06.01.18</v>
      </c>
      <c r="D134" s="515" t="str">
        <f>+Resúmen!D309</f>
        <v>VÁLVULA AIRE AUTOMÁTICA TRIPLE EFECTO BRIDADA PN 16 ESFERA DE ACERO INOXIDABLE DN 50</v>
      </c>
      <c r="E134" s="503" t="str">
        <f>+Resúmen!E309</f>
        <v>UND</v>
      </c>
      <c r="F134" s="503">
        <v>1</v>
      </c>
      <c r="G134" s="526">
        <v>1</v>
      </c>
      <c r="H134" s="526"/>
      <c r="I134" s="526"/>
      <c r="J134" s="526"/>
      <c r="K134" s="548">
        <f t="shared" si="6"/>
        <v>1</v>
      </c>
      <c r="M134" s="379"/>
    </row>
    <row r="135" spans="3:13" ht="29.25" hidden="1" customHeight="1">
      <c r="C135" s="502" t="str">
        <f>+Resúmen!C310</f>
        <v>01.02.06.01.19</v>
      </c>
      <c r="D135" s="515" t="str">
        <f>+Resúmen!D310</f>
        <v>MONTAJE DE INSTALACIONES HIDRAULICAS DE LA CISTERNA CR-155</v>
      </c>
      <c r="E135" s="503" t="str">
        <f>+Resúmen!E310</f>
        <v>UND</v>
      </c>
      <c r="F135" s="503">
        <v>1</v>
      </c>
      <c r="G135" s="526">
        <v>1</v>
      </c>
      <c r="H135" s="526"/>
      <c r="I135" s="526"/>
      <c r="J135" s="526"/>
      <c r="K135" s="548">
        <f t="shared" si="6"/>
        <v>1</v>
      </c>
      <c r="M135" s="379"/>
    </row>
    <row r="136" spans="3:13" ht="29.25" hidden="1" customHeight="1">
      <c r="C136" s="506" t="str">
        <f>+Resúmen!C311</f>
        <v>01.02.06.02</v>
      </c>
      <c r="D136" s="522" t="str">
        <f>+Resúmen!D311</f>
        <v>CISTERNA CR-156</v>
      </c>
      <c r="E136" s="507" t="s">
        <v>156</v>
      </c>
      <c r="F136" s="507">
        <v>0</v>
      </c>
      <c r="G136" s="528"/>
      <c r="H136" s="528"/>
      <c r="I136" s="528"/>
      <c r="J136" s="528"/>
      <c r="K136" s="548">
        <f t="shared" si="6"/>
        <v>0</v>
      </c>
      <c r="M136" s="379"/>
    </row>
    <row r="137" spans="3:13" ht="29.25" hidden="1" customHeight="1">
      <c r="C137" s="502" t="str">
        <f>+Resúmen!C312</f>
        <v>01.02.06.02.01</v>
      </c>
      <c r="D137" s="515" t="str">
        <f>+Resúmen!D312</f>
        <v>PASE DE TUBERÍA POR MURO DE RESERVORIO EXISTENTE INCL. ROTURA Y RESANE</v>
      </c>
      <c r="E137" s="503" t="str">
        <f>+Resúmen!E312</f>
        <v>UND</v>
      </c>
      <c r="F137" s="503">
        <v>1</v>
      </c>
      <c r="G137" s="526">
        <v>1</v>
      </c>
      <c r="H137" s="526"/>
      <c r="I137" s="526"/>
      <c r="J137" s="526"/>
      <c r="K137" s="548">
        <f t="shared" si="6"/>
        <v>1</v>
      </c>
      <c r="M137" s="379"/>
    </row>
    <row r="138" spans="3:13" ht="29.25" hidden="1" customHeight="1">
      <c r="C138" s="502" t="str">
        <f>+Resúmen!C313</f>
        <v>01.02.06.02.02</v>
      </c>
      <c r="D138" s="515" t="str">
        <f>+Resúmen!D313</f>
        <v>CORTE+ROTURA, ED Y REPOSICIÓN DE PISO F'C 140 KG/CM2 DE 10 CM ESPESOR (CEMENTO PV)</v>
      </c>
      <c r="E138" s="503" t="str">
        <f>+Resúmen!E313</f>
        <v>M2</v>
      </c>
      <c r="F138" s="503">
        <v>1</v>
      </c>
      <c r="G138" s="526">
        <v>3</v>
      </c>
      <c r="H138" s="526"/>
      <c r="I138" s="526"/>
      <c r="J138" s="526"/>
      <c r="K138" s="548">
        <f t="shared" si="6"/>
        <v>3</v>
      </c>
      <c r="M138" s="379"/>
    </row>
    <row r="139" spans="3:13" ht="29.25" hidden="1" customHeight="1">
      <c r="C139" s="502" t="str">
        <f>+Resúmen!C314</f>
        <v>01.02.06.02.03</v>
      </c>
      <c r="D139" s="515" t="str">
        <f>+Resúmen!D314</f>
        <v>CONCRETO F'C 175 KG/CM2 PARA ANCLAJES DE ACCESORIOS DN 100 - 150 (CEMENTO V)</v>
      </c>
      <c r="E139" s="503" t="str">
        <f>+Resúmen!E314</f>
        <v>UND</v>
      </c>
      <c r="F139" s="503">
        <v>1</v>
      </c>
      <c r="G139" s="526">
        <v>2</v>
      </c>
      <c r="H139" s="526"/>
      <c r="I139" s="526"/>
      <c r="J139" s="526"/>
      <c r="K139" s="548">
        <f t="shared" si="6"/>
        <v>2</v>
      </c>
      <c r="M139" s="379"/>
    </row>
    <row r="140" spans="3:13" ht="29.25" hidden="1" customHeight="1">
      <c r="C140" s="502" t="str">
        <f>+Resúmen!C315</f>
        <v>01.02.06.02.04</v>
      </c>
      <c r="D140" s="515" t="str">
        <f>+Resúmen!D315</f>
        <v>CORTE, RETIRO Y CIERRE DE TUBERÍA DE IMPULSIÓN EXISTENTE.</v>
      </c>
      <c r="E140" s="503" t="str">
        <f>+Resúmen!E315</f>
        <v>UND</v>
      </c>
      <c r="F140" s="503">
        <v>1</v>
      </c>
      <c r="G140" s="526">
        <v>1</v>
      </c>
      <c r="H140" s="526"/>
      <c r="I140" s="526"/>
      <c r="J140" s="526"/>
      <c r="K140" s="548">
        <f t="shared" si="6"/>
        <v>1</v>
      </c>
      <c r="M140" s="379"/>
    </row>
    <row r="141" spans="3:13" ht="29.25" hidden="1" customHeight="1">
      <c r="C141" s="502" t="str">
        <f>+Resúmen!C316</f>
        <v>01.02.06.02.05</v>
      </c>
      <c r="D141" s="515" t="str">
        <f>+Resúmen!D316</f>
        <v>TUBERÍA DE HIERRO DÚCTIL K-9 DN 150 INCLUYE ANILLO + 1% DE DESPERDICIO</v>
      </c>
      <c r="E141" s="503" t="str">
        <f>+Resúmen!E316</f>
        <v>M</v>
      </c>
      <c r="F141" s="503">
        <v>1</v>
      </c>
      <c r="G141" s="526">
        <v>4.95</v>
      </c>
      <c r="H141" s="526"/>
      <c r="I141" s="526"/>
      <c r="J141" s="526"/>
      <c r="K141" s="548">
        <f t="shared" si="6"/>
        <v>4.95</v>
      </c>
      <c r="M141" s="379"/>
    </row>
    <row r="142" spans="3:13" ht="29.25" hidden="1" customHeight="1">
      <c r="C142" s="502" t="str">
        <f>+Resúmen!C317</f>
        <v>01.02.06.02.06</v>
      </c>
      <c r="D142" s="515" t="str">
        <f>+Resúmen!D317</f>
        <v>SUMINISTRO E INSTALACIÓN DE MANGA HDPE E= 8 MILS (200 MICRONES) PARA PROTECCIÓN DE TUBERÍA HD DN 150</v>
      </c>
      <c r="E142" s="503" t="str">
        <f>+Resúmen!E317</f>
        <v>M</v>
      </c>
      <c r="F142" s="503">
        <v>1</v>
      </c>
      <c r="G142" s="526">
        <v>1.2</v>
      </c>
      <c r="H142" s="526"/>
      <c r="I142" s="526"/>
      <c r="J142" s="526"/>
      <c r="K142" s="548">
        <f t="shared" si="6"/>
        <v>1.2</v>
      </c>
      <c r="M142" s="379"/>
    </row>
    <row r="143" spans="3:13" ht="29.25" hidden="1" customHeight="1">
      <c r="C143" s="502" t="str">
        <f>+Resúmen!C318</f>
        <v>01.02.06.02.07</v>
      </c>
      <c r="D143" s="515" t="str">
        <f>+Resúmen!D318</f>
        <v>CODO HIERRO DÚCTIL DE 45° (1/8) 2 ENCHUFES ESTANDAR DN 150</v>
      </c>
      <c r="E143" s="503" t="str">
        <f>+Resúmen!E318</f>
        <v>UND</v>
      </c>
      <c r="F143" s="503">
        <v>1</v>
      </c>
      <c r="G143" s="526">
        <v>2</v>
      </c>
      <c r="H143" s="526"/>
      <c r="I143" s="526"/>
      <c r="J143" s="526"/>
      <c r="K143" s="548">
        <f t="shared" si="6"/>
        <v>2</v>
      </c>
      <c r="M143" s="379"/>
    </row>
    <row r="144" spans="3:13" ht="29.25" hidden="1" customHeight="1">
      <c r="C144" s="502" t="str">
        <f>+Resúmen!C319</f>
        <v>01.02.06.02.08</v>
      </c>
      <c r="D144" s="515" t="str">
        <f>+Resúmen!D319</f>
        <v>ACOPLE METÁLICO DE AMPLIO RANGO PARA TUBERÍA DN 150 R= 160/181,6</v>
      </c>
      <c r="E144" s="503" t="str">
        <f>+Resúmen!E319</f>
        <v>UND</v>
      </c>
      <c r="F144" s="503">
        <v>1</v>
      </c>
      <c r="G144" s="526">
        <v>1</v>
      </c>
      <c r="H144" s="526"/>
      <c r="I144" s="526"/>
      <c r="J144" s="526"/>
      <c r="K144" s="548">
        <f t="shared" si="6"/>
        <v>1</v>
      </c>
      <c r="M144" s="379"/>
    </row>
    <row r="145" spans="3:13" ht="29.25" hidden="1" customHeight="1">
      <c r="C145" s="502" t="str">
        <f>+Resúmen!C320</f>
        <v>01.02.06.02.09</v>
      </c>
      <c r="D145" s="515" t="str">
        <f>+Resúmen!D320</f>
        <v>MONTAJE DE INSTALACIONES HIDRAULICAS DE LA CISTERNA CR-156</v>
      </c>
      <c r="E145" s="503" t="str">
        <f>+Resúmen!E320</f>
        <v>UND</v>
      </c>
      <c r="F145" s="503">
        <v>1</v>
      </c>
      <c r="G145" s="526">
        <v>1</v>
      </c>
      <c r="H145" s="526"/>
      <c r="I145" s="526"/>
      <c r="J145" s="526"/>
      <c r="K145" s="548">
        <f t="shared" si="6"/>
        <v>1</v>
      </c>
      <c r="M145" s="379"/>
    </row>
    <row r="146" spans="3:13" ht="29.25" hidden="1" customHeight="1">
      <c r="C146" s="510" t="str">
        <f>+Resúmen!C345</f>
        <v>01</v>
      </c>
      <c r="D146" s="524" t="str">
        <f>+Resúmen!D345</f>
        <v>FRENTE 03 "CAMBIO DE LINEA DE IMPULSION DEL CR-138 A CR-24"</v>
      </c>
      <c r="E146" s="511" t="str">
        <f>+Resúmen!E345</f>
        <v/>
      </c>
      <c r="F146" s="511">
        <v>0</v>
      </c>
      <c r="G146" s="530"/>
      <c r="H146" s="530"/>
      <c r="I146" s="530"/>
      <c r="J146" s="530"/>
      <c r="K146" s="548">
        <f t="shared" si="6"/>
        <v>0</v>
      </c>
      <c r="M146" s="379"/>
    </row>
    <row r="147" spans="3:13" ht="29.25" hidden="1" customHeight="1">
      <c r="C147" s="500" t="str">
        <f>+Resúmen!C353</f>
        <v>01.02</v>
      </c>
      <c r="D147" s="520" t="str">
        <f>+Resúmen!D353</f>
        <v>LINEA DE IMPULSIÓN FRENTE - 03</v>
      </c>
      <c r="E147" s="501" t="str">
        <f>+Resúmen!E353</f>
        <v/>
      </c>
      <c r="F147" s="501">
        <v>0</v>
      </c>
      <c r="G147" s="531"/>
      <c r="H147" s="531"/>
      <c r="I147" s="531"/>
      <c r="J147" s="531"/>
      <c r="K147" s="548">
        <f t="shared" si="6"/>
        <v>0</v>
      </c>
      <c r="M147" s="379"/>
    </row>
    <row r="148" spans="3:13" ht="29.25" hidden="1" customHeight="1">
      <c r="C148" s="504" t="str">
        <f>+Resúmen!C354</f>
        <v>01.02.01</v>
      </c>
      <c r="D148" s="521" t="str">
        <f>+Resúmen!D354</f>
        <v>TRABAJOS PRELIMINARES</v>
      </c>
      <c r="E148" s="505" t="str">
        <f>+Resúmen!E354</f>
        <v/>
      </c>
      <c r="F148" s="505">
        <v>0</v>
      </c>
      <c r="G148" s="527"/>
      <c r="H148" s="527"/>
      <c r="I148" s="527"/>
      <c r="J148" s="527"/>
      <c r="K148" s="548">
        <f t="shared" si="6"/>
        <v>0</v>
      </c>
      <c r="M148" s="379"/>
    </row>
    <row r="149" spans="3:13" ht="29.25" hidden="1" customHeight="1">
      <c r="C149" s="502" t="str">
        <f>+Resúmen!C365</f>
        <v>01.02.01.11</v>
      </c>
      <c r="D149" s="515" t="str">
        <f>+Resúmen!D365</f>
        <v>TRANSPORTE A ZONA S/ACCESO:MAT.,DESMONTE P/LÍNEA DN 100 - 150 T-ROCOSO</v>
      </c>
      <c r="E149" s="503" t="str">
        <f>+Resúmen!E365</f>
        <v>M</v>
      </c>
      <c r="F149" s="503">
        <v>1</v>
      </c>
      <c r="G149" s="526">
        <f>+SUM(G150:G153)</f>
        <v>145.51</v>
      </c>
      <c r="H149" s="526"/>
      <c r="I149" s="526"/>
      <c r="J149" s="526"/>
      <c r="K149" s="548">
        <f t="shared" si="6"/>
        <v>145.51</v>
      </c>
      <c r="M149" s="379"/>
    </row>
    <row r="150" spans="3:13" hidden="1">
      <c r="C150" s="502"/>
      <c r="D150" s="533" t="s">
        <v>1125</v>
      </c>
      <c r="E150" s="503"/>
      <c r="F150" s="503"/>
      <c r="G150" s="526">
        <v>55.2</v>
      </c>
      <c r="H150" s="526"/>
      <c r="I150" s="526"/>
      <c r="J150" s="526"/>
      <c r="K150" s="548"/>
      <c r="M150" s="379"/>
    </row>
    <row r="151" spans="3:13" hidden="1">
      <c r="C151" s="502"/>
      <c r="D151" s="533" t="s">
        <v>1126</v>
      </c>
      <c r="E151" s="503"/>
      <c r="F151" s="503"/>
      <c r="G151" s="526">
        <v>42.4</v>
      </c>
      <c r="H151" s="526"/>
      <c r="I151" s="526"/>
      <c r="J151" s="526"/>
      <c r="K151" s="548"/>
      <c r="M151" s="379"/>
    </row>
    <row r="152" spans="3:13" hidden="1">
      <c r="C152" s="502"/>
      <c r="D152" s="533" t="s">
        <v>1127</v>
      </c>
      <c r="E152" s="503"/>
      <c r="F152" s="503"/>
      <c r="G152" s="526">
        <v>10.34</v>
      </c>
      <c r="H152" s="526"/>
      <c r="I152" s="526"/>
      <c r="J152" s="526"/>
      <c r="K152" s="548"/>
      <c r="M152" s="379"/>
    </row>
    <row r="153" spans="3:13" hidden="1">
      <c r="C153" s="502"/>
      <c r="D153" s="533" t="s">
        <v>1128</v>
      </c>
      <c r="E153" s="503"/>
      <c r="F153" s="503"/>
      <c r="G153" s="526">
        <v>37.57</v>
      </c>
      <c r="H153" s="526"/>
      <c r="I153" s="526"/>
      <c r="J153" s="526"/>
      <c r="K153" s="548"/>
      <c r="M153" s="379"/>
    </row>
    <row r="154" spans="3:13" hidden="1">
      <c r="C154" s="502"/>
      <c r="D154" s="515"/>
      <c r="E154" s="503"/>
      <c r="F154" s="503"/>
      <c r="G154" s="526"/>
      <c r="H154" s="526"/>
      <c r="I154" s="526"/>
      <c r="J154" s="526"/>
      <c r="K154" s="548"/>
      <c r="M154" s="379"/>
    </row>
    <row r="155" spans="3:13" ht="29.25" hidden="1" customHeight="1">
      <c r="C155" s="502" t="str">
        <f>+Resúmen!C366</f>
        <v>01.02.01.12</v>
      </c>
      <c r="D155" s="515" t="str">
        <f>+Resúmen!D366</f>
        <v>PROTECCION DE REDES EXISTENTES DE DN 100 A 150</v>
      </c>
      <c r="E155" s="503" t="str">
        <f>+Resúmen!E366</f>
        <v>UND</v>
      </c>
      <c r="F155" s="503">
        <v>1</v>
      </c>
      <c r="G155" s="526">
        <v>5</v>
      </c>
      <c r="H155" s="526"/>
      <c r="I155" s="526"/>
      <c r="J155" s="526"/>
      <c r="K155" s="548">
        <f t="shared" ref="K155:K186" si="7">+PRODUCT(F155:I155)</f>
        <v>5</v>
      </c>
      <c r="M155" s="379"/>
    </row>
    <row r="156" spans="3:13" ht="29.25" hidden="1" customHeight="1">
      <c r="C156" s="502" t="str">
        <f>+Resúmen!C367</f>
        <v>01.02.01.13</v>
      </c>
      <c r="D156" s="515" t="str">
        <f>+Resúmen!D367</f>
        <v>PROTECCION DE REDES EXISTENTES DE DN 200 A 250</v>
      </c>
      <c r="E156" s="503" t="str">
        <f>+Resúmen!E367</f>
        <v>UND</v>
      </c>
      <c r="F156" s="503">
        <v>1</v>
      </c>
      <c r="G156" s="526">
        <v>6</v>
      </c>
      <c r="H156" s="526"/>
      <c r="I156" s="526"/>
      <c r="J156" s="526"/>
      <c r="K156" s="548">
        <f t="shared" si="7"/>
        <v>6</v>
      </c>
      <c r="M156" s="379"/>
    </row>
    <row r="157" spans="3:13" ht="29.25" hidden="1" customHeight="1">
      <c r="C157" s="502" t="str">
        <f>+Resúmen!C368</f>
        <v>01.02.01.14</v>
      </c>
      <c r="D157" s="515" t="str">
        <f>+Resúmen!D368</f>
        <v>PROTECCION DE REDES EXISTENTES DE DN 300 A 350</v>
      </c>
      <c r="E157" s="503" t="str">
        <f>+Resúmen!E368</f>
        <v>UND</v>
      </c>
      <c r="F157" s="503">
        <v>1</v>
      </c>
      <c r="G157" s="526">
        <v>1</v>
      </c>
      <c r="H157" s="526"/>
      <c r="I157" s="526"/>
      <c r="J157" s="526"/>
      <c r="K157" s="548">
        <f t="shared" si="7"/>
        <v>1</v>
      </c>
      <c r="M157" s="379"/>
    </row>
    <row r="158" spans="3:13" ht="29.25" hidden="1" customHeight="1">
      <c r="C158" s="502" t="str">
        <f>+Resúmen!C369</f>
        <v>01.02.01.15</v>
      </c>
      <c r="D158" s="515" t="str">
        <f>+Resúmen!D369</f>
        <v>PROTECCION DE CONEXIONES DOMICILIARIAS DE AGUA POTABLE</v>
      </c>
      <c r="E158" s="503" t="str">
        <f>+Resúmen!E369</f>
        <v>UND</v>
      </c>
      <c r="F158" s="503">
        <v>1</v>
      </c>
      <c r="G158" s="526">
        <v>18</v>
      </c>
      <c r="H158" s="526"/>
      <c r="I158" s="526"/>
      <c r="J158" s="526"/>
      <c r="K158" s="548">
        <f t="shared" si="7"/>
        <v>18</v>
      </c>
      <c r="M158" s="379"/>
    </row>
    <row r="159" spans="3:13" ht="29.25" hidden="1" customHeight="1">
      <c r="C159" s="502" t="str">
        <f>+Resúmen!C370</f>
        <v>01.02.01.16</v>
      </c>
      <c r="D159" s="515" t="str">
        <f>+Resúmen!D370</f>
        <v>PROTECCION DE CONEXIONES DOMICILIARIAS DE DESAGÜE</v>
      </c>
      <c r="E159" s="503" t="str">
        <f>+Resúmen!E370</f>
        <v>UND</v>
      </c>
      <c r="F159" s="503">
        <v>1</v>
      </c>
      <c r="G159" s="526">
        <v>12</v>
      </c>
      <c r="H159" s="526"/>
      <c r="I159" s="526"/>
      <c r="J159" s="526"/>
      <c r="K159" s="548">
        <f t="shared" si="7"/>
        <v>12</v>
      </c>
      <c r="M159" s="379"/>
    </row>
    <row r="160" spans="3:13" ht="29.25" hidden="1" customHeight="1">
      <c r="C160" s="502" t="str">
        <f>+Resúmen!C371</f>
        <v>01.02.01.17</v>
      </c>
      <c r="D160" s="515" t="str">
        <f>+Resúmen!D371</f>
        <v>PROTECCION DE POSTES PARA ALUMBRADO - TELEFONO</v>
      </c>
      <c r="E160" s="503" t="str">
        <f>+Resúmen!E371</f>
        <v>UND</v>
      </c>
      <c r="F160" s="503">
        <v>1</v>
      </c>
      <c r="G160" s="526">
        <v>12</v>
      </c>
      <c r="H160" s="526"/>
      <c r="I160" s="526"/>
      <c r="J160" s="526"/>
      <c r="K160" s="548">
        <f t="shared" si="7"/>
        <v>12</v>
      </c>
      <c r="M160" s="379"/>
    </row>
    <row r="161" spans="3:13" ht="29.25" hidden="1" customHeight="1">
      <c r="C161" s="502" t="str">
        <f>+Resúmen!C372</f>
        <v>01.02.01.18</v>
      </c>
      <c r="D161" s="515" t="str">
        <f>+Resúmen!D372</f>
        <v>PROTECCION DE CABLE ELÉCTRICO DE MEDIA TENSIÓN</v>
      </c>
      <c r="E161" s="503" t="str">
        <f>+Resúmen!E372</f>
        <v>UND</v>
      </c>
      <c r="F161" s="503">
        <v>1</v>
      </c>
      <c r="G161" s="526">
        <v>2</v>
      </c>
      <c r="H161" s="526"/>
      <c r="I161" s="526"/>
      <c r="J161" s="526"/>
      <c r="K161" s="548">
        <f t="shared" si="7"/>
        <v>2</v>
      </c>
      <c r="M161" s="379"/>
    </row>
    <row r="162" spans="3:13" ht="29.25" hidden="1" customHeight="1">
      <c r="C162" s="502" t="str">
        <f>+Resúmen!C373</f>
        <v>01.02.01.19</v>
      </c>
      <c r="D162" s="515" t="str">
        <f>+Resúmen!D373</f>
        <v>PROTECCION DE CABLES TELEFÓNICOS</v>
      </c>
      <c r="E162" s="503" t="str">
        <f>+Resúmen!E373</f>
        <v>UND</v>
      </c>
      <c r="F162" s="503">
        <v>1</v>
      </c>
      <c r="G162" s="526">
        <v>1</v>
      </c>
      <c r="H162" s="526"/>
      <c r="I162" s="526"/>
      <c r="J162" s="526"/>
      <c r="K162" s="548">
        <f t="shared" si="7"/>
        <v>1</v>
      </c>
      <c r="M162" s="379"/>
    </row>
    <row r="163" spans="3:13" ht="29.25" hidden="1" customHeight="1">
      <c r="C163" s="504" t="str">
        <f>+Resúmen!C407</f>
        <v>01.02.06</v>
      </c>
      <c r="D163" s="521" t="str">
        <f>+Resúmen!D407</f>
        <v>MEJORAMIENTO DE INSTALACIONES HIDRÁULICAS EN ESTRUCTURAS EXISTENTES</v>
      </c>
      <c r="E163" s="505" t="s">
        <v>156</v>
      </c>
      <c r="F163" s="505">
        <v>0</v>
      </c>
      <c r="G163" s="527"/>
      <c r="H163" s="527"/>
      <c r="I163" s="527"/>
      <c r="J163" s="527"/>
      <c r="K163" s="548">
        <f t="shared" si="7"/>
        <v>0</v>
      </c>
      <c r="M163" s="379"/>
    </row>
    <row r="164" spans="3:13" ht="29.25" hidden="1" customHeight="1">
      <c r="C164" s="506" t="str">
        <f>+Resúmen!C408</f>
        <v>01.02.06.01</v>
      </c>
      <c r="D164" s="522" t="str">
        <f>+Resúmen!D408</f>
        <v>CISTERNA CR-138</v>
      </c>
      <c r="E164" s="507" t="s">
        <v>156</v>
      </c>
      <c r="F164" s="507">
        <v>0</v>
      </c>
      <c r="G164" s="528"/>
      <c r="H164" s="528"/>
      <c r="I164" s="528"/>
      <c r="J164" s="528"/>
      <c r="K164" s="548">
        <f t="shared" si="7"/>
        <v>0</v>
      </c>
      <c r="M164" s="379"/>
    </row>
    <row r="165" spans="3:13" ht="29.25" hidden="1" customHeight="1">
      <c r="C165" s="508" t="str">
        <f>+Resúmen!C409</f>
        <v>01.02.06.01.01</v>
      </c>
      <c r="D165" s="523" t="str">
        <f>+Resúmen!D409</f>
        <v>OBRAS CIVILES EN LÍNEA DE INGRESO</v>
      </c>
      <c r="E165" s="509" t="s">
        <v>156</v>
      </c>
      <c r="F165" s="509">
        <v>0</v>
      </c>
      <c r="G165" s="529"/>
      <c r="H165" s="529"/>
      <c r="I165" s="529"/>
      <c r="J165" s="529"/>
      <c r="K165" s="548">
        <f t="shared" si="7"/>
        <v>0</v>
      </c>
      <c r="M165" s="379"/>
    </row>
    <row r="166" spans="3:13" ht="29.25" hidden="1" customHeight="1">
      <c r="C166" s="502" t="str">
        <f>+Resúmen!C410</f>
        <v>01.02.06.01.01.01</v>
      </c>
      <c r="D166" s="515" t="str">
        <f>+Resúmen!D410</f>
        <v>TRAZO Y REPLANTEO INICIAL DEL PROYECTO, PARA LÍNEAS-REDES CON ESTACIÓN TOTAL</v>
      </c>
      <c r="E166" s="503" t="str">
        <f>+Resúmen!E410</f>
        <v>KM</v>
      </c>
      <c r="F166" s="503">
        <v>1</v>
      </c>
      <c r="G166" s="526">
        <f>+G168/1000</f>
        <v>7.9000000000000008E-3</v>
      </c>
      <c r="H166" s="526"/>
      <c r="I166" s="526"/>
      <c r="J166" s="526"/>
      <c r="K166" s="548">
        <f t="shared" si="7"/>
        <v>7.9000000000000008E-3</v>
      </c>
      <c r="M166" s="379"/>
    </row>
    <row r="167" spans="3:13" ht="29.25" hidden="1" customHeight="1">
      <c r="C167" s="502" t="str">
        <f>+Resúmen!C411</f>
        <v>01.02.06.01.01.02</v>
      </c>
      <c r="D167" s="515" t="str">
        <f>+Resúmen!D411</f>
        <v>REPLANTEO FINAL DE LA OBRA, PARA LÍNEAS REDES CON ESTACIÓN TOTAL</v>
      </c>
      <c r="E167" s="503" t="str">
        <f>+Resúmen!E411</f>
        <v>KM</v>
      </c>
      <c r="F167" s="503">
        <v>1</v>
      </c>
      <c r="G167" s="526">
        <f>+G166</f>
        <v>7.9000000000000008E-3</v>
      </c>
      <c r="H167" s="526"/>
      <c r="I167" s="526"/>
      <c r="J167" s="526"/>
      <c r="K167" s="548">
        <f t="shared" si="7"/>
        <v>7.9000000000000008E-3</v>
      </c>
      <c r="M167" s="379"/>
    </row>
    <row r="168" spans="3:13" ht="29.25" hidden="1" customHeight="1">
      <c r="C168" s="502" t="str">
        <f>+Resúmen!C412</f>
        <v>01.02.06.01.01.03</v>
      </c>
      <c r="D168" s="515" t="str">
        <f>+Resúmen!D412</f>
        <v>CINTA PLÁSTICA SEÑALIZADORA PARA LÍMITE DE SEGURIDAD DE OBRA</v>
      </c>
      <c r="E168" s="503" t="str">
        <f>+Resúmen!E412</f>
        <v>M</v>
      </c>
      <c r="F168" s="503">
        <v>1</v>
      </c>
      <c r="G168" s="526">
        <f>+G170*2</f>
        <v>7.9</v>
      </c>
      <c r="H168" s="526"/>
      <c r="I168" s="526"/>
      <c r="J168" s="526"/>
      <c r="K168" s="548">
        <f t="shared" si="7"/>
        <v>7.9</v>
      </c>
      <c r="M168" s="379"/>
    </row>
    <row r="169" spans="3:13" ht="29.25" hidden="1" customHeight="1">
      <c r="C169" s="502" t="str">
        <f>+Resúmen!C413</f>
        <v>01.02.06.01.01.04</v>
      </c>
      <c r="D169" s="515" t="str">
        <f>+Resúmen!D413</f>
        <v>CERCO DE MALLA HDP DE 1 M ALTURA PARA LÍMITE DE SEGURIDAD DE OBRA</v>
      </c>
      <c r="E169" s="503" t="str">
        <f>+Resúmen!E413</f>
        <v>M</v>
      </c>
      <c r="F169" s="503">
        <v>1</v>
      </c>
      <c r="G169" s="526">
        <f>+G170*2</f>
        <v>7.9</v>
      </c>
      <c r="H169" s="526"/>
      <c r="I169" s="526"/>
      <c r="J169" s="526"/>
      <c r="K169" s="548">
        <f t="shared" si="7"/>
        <v>7.9</v>
      </c>
      <c r="M169" s="379"/>
    </row>
    <row r="170" spans="3:13" ht="29.25" hidden="1" customHeight="1">
      <c r="C170" s="502" t="str">
        <f>+Resúmen!C414</f>
        <v>01.02.06.01.01.05</v>
      </c>
      <c r="D170" s="515" t="str">
        <f>+Resúmen!D414</f>
        <v>RIEGO DE ZONA DE TRABAJO PARA MITIGAR LA CONTAMINACIÓN - POLVO (INCL. COSTO DE AGUA Y TRANSPORTE SURTIDOR A OBRA )</v>
      </c>
      <c r="E170" s="503" t="str">
        <f>+Resúmen!E414</f>
        <v>M</v>
      </c>
      <c r="F170" s="503">
        <v>1</v>
      </c>
      <c r="G170" s="526">
        <f>+G171</f>
        <v>3.95</v>
      </c>
      <c r="H170" s="526"/>
      <c r="I170" s="526"/>
      <c r="J170" s="526"/>
      <c r="K170" s="548">
        <f t="shared" si="7"/>
        <v>3.95</v>
      </c>
      <c r="M170" s="379"/>
    </row>
    <row r="171" spans="3:13" ht="29.25" hidden="1" customHeight="1">
      <c r="C171" s="502" t="str">
        <f>+Resúmen!C415</f>
        <v>01.02.06.01.01.06</v>
      </c>
      <c r="D171" s="515" t="str">
        <f>+Resúmen!D415</f>
        <v>EXCAV. ZANJA (PULSO) P/TUB. TERR-NORMAL DN 100 - 150 DE 1,01 M A 1,25 M PROF.</v>
      </c>
      <c r="E171" s="503" t="str">
        <f>+Resúmen!E415</f>
        <v>M</v>
      </c>
      <c r="F171" s="503">
        <v>1</v>
      </c>
      <c r="G171" s="526">
        <v>3.95</v>
      </c>
      <c r="H171" s="526"/>
      <c r="I171" s="526"/>
      <c r="J171" s="526"/>
      <c r="K171" s="548">
        <f t="shared" si="7"/>
        <v>3.95</v>
      </c>
      <c r="M171" s="379"/>
    </row>
    <row r="172" spans="3:13" ht="29.25" hidden="1" customHeight="1">
      <c r="C172" s="502" t="str">
        <f>+Resúmen!C416</f>
        <v>01.02.06.01.01.07</v>
      </c>
      <c r="D172" s="515" t="str">
        <f>+Resúmen!D416</f>
        <v>REFINE Y NIVEL DE ZANJA TERR-NORMAL PARA TUB. DN 100 - 150 PARA TODA PROFUND.</v>
      </c>
      <c r="E172" s="503" t="str">
        <f>+Resúmen!E416</f>
        <v>M</v>
      </c>
      <c r="F172" s="503">
        <v>1</v>
      </c>
      <c r="G172" s="526">
        <f>+G171</f>
        <v>3.95</v>
      </c>
      <c r="H172" s="526"/>
      <c r="I172" s="526"/>
      <c r="J172" s="526"/>
      <c r="K172" s="548">
        <f t="shared" si="7"/>
        <v>3.95</v>
      </c>
      <c r="M172" s="379"/>
    </row>
    <row r="173" spans="3:13" ht="29.25" hidden="1" customHeight="1">
      <c r="C173" s="502" t="str">
        <f>+Resúmen!C417</f>
        <v>01.02.06.01.01.08</v>
      </c>
      <c r="D173" s="515" t="str">
        <f>+Resúmen!D417</f>
        <v>RELLENO COMP.ZANJA(PULSO) P/TUB T-NORMAL DN 100 - 150 DE 1,01 M A 1,25 M PROF.</v>
      </c>
      <c r="E173" s="503" t="str">
        <f>+Resúmen!E417</f>
        <v>M</v>
      </c>
      <c r="F173" s="503">
        <v>1</v>
      </c>
      <c r="G173" s="526">
        <f>+G172</f>
        <v>3.95</v>
      </c>
      <c r="H173" s="526"/>
      <c r="I173" s="526"/>
      <c r="J173" s="526"/>
      <c r="K173" s="548">
        <f t="shared" si="7"/>
        <v>3.95</v>
      </c>
      <c r="M173" s="379"/>
    </row>
    <row r="174" spans="3:13" ht="29.25" hidden="1" customHeight="1">
      <c r="C174" s="502" t="str">
        <f>+Resúmen!C418</f>
        <v>01.02.06.01.01.09</v>
      </c>
      <c r="D174" s="515" t="str">
        <f>+Resúmen!D418</f>
        <v>ELIMIN. DESMONTE(CARG+V) T-NORMAL D=20KM P/TUB. DN 100 - 150 PARA TODA PROF.</v>
      </c>
      <c r="E174" s="503" t="str">
        <f>+Resúmen!E418</f>
        <v>M</v>
      </c>
      <c r="F174" s="503">
        <v>1</v>
      </c>
      <c r="G174" s="526">
        <f>+G173</f>
        <v>3.95</v>
      </c>
      <c r="H174" s="526"/>
      <c r="I174" s="526"/>
      <c r="J174" s="526"/>
      <c r="K174" s="548">
        <f t="shared" si="7"/>
        <v>3.95</v>
      </c>
      <c r="M174" s="379"/>
    </row>
    <row r="175" spans="3:13" ht="29.25" hidden="1" customHeight="1">
      <c r="C175" s="502" t="str">
        <f>+Resúmen!C419</f>
        <v>01.02.06.01.01.10</v>
      </c>
      <c r="D175" s="515" t="str">
        <f>+Resúmen!D419</f>
        <v>CORTE, RETIRO Y CIERRE DE TUBERÍA DE IMPULSIÓN EXISTENTE.</v>
      </c>
      <c r="E175" s="503" t="str">
        <f>+Resúmen!E419</f>
        <v>UND</v>
      </c>
      <c r="F175" s="503">
        <v>1</v>
      </c>
      <c r="G175" s="526">
        <v>1</v>
      </c>
      <c r="H175" s="526"/>
      <c r="I175" s="526"/>
      <c r="J175" s="526"/>
      <c r="K175" s="548">
        <f t="shared" si="7"/>
        <v>1</v>
      </c>
      <c r="M175" s="379"/>
    </row>
    <row r="176" spans="3:13" ht="29.25" hidden="1" customHeight="1">
      <c r="C176" s="508" t="str">
        <f>+Resúmen!C420</f>
        <v>01.02.06.01.02</v>
      </c>
      <c r="D176" s="523" t="str">
        <f>+Resúmen!D420</f>
        <v>INSTALACIONES HIDRÁULICAS EN LÍNEA DE INGRESO</v>
      </c>
      <c r="E176" s="512" t="s">
        <v>156</v>
      </c>
      <c r="F176" s="512">
        <v>0</v>
      </c>
      <c r="G176" s="532"/>
      <c r="H176" s="532"/>
      <c r="I176" s="532"/>
      <c r="J176" s="532"/>
      <c r="K176" s="548">
        <f t="shared" si="7"/>
        <v>0</v>
      </c>
      <c r="M176" s="379"/>
    </row>
    <row r="177" spans="3:13" ht="29.25" hidden="1" customHeight="1">
      <c r="C177" s="502" t="str">
        <f>+Resúmen!C421</f>
        <v>01.02.06.01.02.01</v>
      </c>
      <c r="D177" s="515" t="str">
        <f>+Resúmen!D421</f>
        <v>TUBERÍA DE HIERRO DÚCTIL K-9 DN 150 INCLUYE ANILLO + 1% DE DESPERDICIO</v>
      </c>
      <c r="E177" s="503" t="str">
        <f>+Resúmen!E421</f>
        <v>M</v>
      </c>
      <c r="F177" s="503">
        <v>1</v>
      </c>
      <c r="G177" s="526">
        <v>1.8</v>
      </c>
      <c r="H177" s="526"/>
      <c r="I177" s="526"/>
      <c r="J177" s="526"/>
      <c r="K177" s="548">
        <f t="shared" si="7"/>
        <v>1.8</v>
      </c>
      <c r="M177" s="379"/>
    </row>
    <row r="178" spans="3:13" ht="29.25" hidden="1" customHeight="1">
      <c r="C178" s="502" t="str">
        <f>+Resúmen!C422</f>
        <v>01.02.06.01.02.02</v>
      </c>
      <c r="D178" s="515" t="str">
        <f>+Resúmen!D422</f>
        <v>INSTALACIÓN DE TUBERÍA DE HIERRO DÚCTIL DN 150 INCLUYE PRUEBA HIDRÁULICA</v>
      </c>
      <c r="E178" s="503" t="str">
        <f>+Resúmen!E422</f>
        <v>M</v>
      </c>
      <c r="F178" s="503">
        <v>1</v>
      </c>
      <c r="G178" s="526">
        <f>+G177</f>
        <v>1.8</v>
      </c>
      <c r="H178" s="526"/>
      <c r="I178" s="526"/>
      <c r="J178" s="526"/>
      <c r="K178" s="548">
        <f t="shared" si="7"/>
        <v>1.8</v>
      </c>
      <c r="M178" s="379"/>
    </row>
    <row r="179" spans="3:13" ht="29.25" hidden="1" customHeight="1">
      <c r="C179" s="502" t="str">
        <f>+Resúmen!C423</f>
        <v>01.02.06.01.02.03</v>
      </c>
      <c r="D179" s="515" t="str">
        <f>+Resúmen!D423</f>
        <v>SUMINISTRO E INSTALACIÓN DE MANGA HDPE E= 8 MILS (200 MICRONES) PARA PROTECCIÓN DE TUBERÍA HD DN 150</v>
      </c>
      <c r="E179" s="503" t="str">
        <f>+Resúmen!E423</f>
        <v>M</v>
      </c>
      <c r="F179" s="526">
        <f>+F178</f>
        <v>1</v>
      </c>
      <c r="G179" s="526">
        <f>+G178</f>
        <v>1.8</v>
      </c>
      <c r="H179" s="526"/>
      <c r="I179" s="526"/>
      <c r="J179" s="526"/>
      <c r="K179" s="548">
        <f t="shared" si="7"/>
        <v>1.8</v>
      </c>
      <c r="M179" s="379"/>
    </row>
    <row r="180" spans="3:13" ht="29.25" hidden="1" customHeight="1">
      <c r="C180" s="502" t="str">
        <f>+Resúmen!C424</f>
        <v>01.02.06.01.02.04</v>
      </c>
      <c r="D180" s="515" t="str">
        <f>+Resúmen!D424</f>
        <v>PRUEBA HIDRÁULICA DE TUBERÍA AGUA POTAB. DN 150</v>
      </c>
      <c r="E180" s="503" t="str">
        <f>+Resúmen!E424</f>
        <v>M</v>
      </c>
      <c r="F180" s="503">
        <v>1</v>
      </c>
      <c r="G180" s="526">
        <f>+G178</f>
        <v>1.8</v>
      </c>
      <c r="H180" s="526"/>
      <c r="I180" s="526"/>
      <c r="J180" s="526"/>
      <c r="K180" s="548">
        <f t="shared" si="7"/>
        <v>1.8</v>
      </c>
      <c r="M180" s="379"/>
    </row>
    <row r="181" spans="3:13" ht="29.25" hidden="1" customHeight="1">
      <c r="C181" s="502" t="str">
        <f>+Resúmen!C425</f>
        <v>01.02.06.01.02.05</v>
      </c>
      <c r="D181" s="515" t="str">
        <f>+Resúmen!D425</f>
        <v>CODO HIERRO DÚCTIL DE 45° (1/8) 2 ENCHUFES ESTANDAR DN 150</v>
      </c>
      <c r="E181" s="503" t="str">
        <f>+Resúmen!E425</f>
        <v>UND</v>
      </c>
      <c r="F181" s="503">
        <v>1</v>
      </c>
      <c r="G181" s="526">
        <v>1</v>
      </c>
      <c r="H181" s="526"/>
      <c r="I181" s="526"/>
      <c r="J181" s="526"/>
      <c r="K181" s="548">
        <f t="shared" si="7"/>
        <v>1</v>
      </c>
      <c r="M181" s="379"/>
    </row>
    <row r="182" spans="3:13" ht="29.25" hidden="1" customHeight="1">
      <c r="C182" s="502" t="str">
        <f>+Resúmen!C426</f>
        <v>01.02.06.01.02.06</v>
      </c>
      <c r="D182" s="515" t="str">
        <f>+Resúmen!D426</f>
        <v>CODO HIERRO DÚCTIL DE 22.5° (1/16) 2 ENCHUFES ESTANDAR DN 150</v>
      </c>
      <c r="E182" s="503" t="str">
        <f>+Resúmen!E426</f>
        <v>UND</v>
      </c>
      <c r="F182" s="503">
        <v>1</v>
      </c>
      <c r="G182" s="526">
        <v>1</v>
      </c>
      <c r="H182" s="526"/>
      <c r="I182" s="526"/>
      <c r="J182" s="526"/>
      <c r="K182" s="548">
        <f t="shared" si="7"/>
        <v>1</v>
      </c>
      <c r="M182" s="379"/>
    </row>
    <row r="183" spans="3:13" ht="29.25" hidden="1" customHeight="1">
      <c r="C183" s="502" t="str">
        <f>+Resúmen!C427</f>
        <v>01.02.06.01.02.07</v>
      </c>
      <c r="D183" s="515" t="str">
        <f>+Resúmen!D427</f>
        <v>CODO HIERRO DÚCTIL DE 11.25° (1/32) 2 ENCHUFES ESTANDAR DN 150</v>
      </c>
      <c r="E183" s="503" t="str">
        <f>+Resúmen!E427</f>
        <v>UND</v>
      </c>
      <c r="F183" s="503">
        <v>1</v>
      </c>
      <c r="G183" s="526">
        <v>1</v>
      </c>
      <c r="H183" s="526"/>
      <c r="I183" s="526"/>
      <c r="J183" s="526"/>
      <c r="K183" s="548">
        <f t="shared" si="7"/>
        <v>1</v>
      </c>
      <c r="M183" s="379"/>
    </row>
    <row r="184" spans="3:13" ht="29.25" hidden="1" customHeight="1">
      <c r="C184" s="502" t="str">
        <f>+Resúmen!C428</f>
        <v>01.02.06.01.02.08</v>
      </c>
      <c r="D184" s="515" t="str">
        <f>+Resúmen!D428</f>
        <v>REDUCCIÓN HO. DÚCTIL 2 ENCHUFES ESTANDAR DN 200 A 150</v>
      </c>
      <c r="E184" s="503" t="str">
        <f>+Resúmen!E428</f>
        <v>UND</v>
      </c>
      <c r="F184" s="503">
        <v>1</v>
      </c>
      <c r="G184" s="526">
        <v>1</v>
      </c>
      <c r="H184" s="526"/>
      <c r="I184" s="526"/>
      <c r="J184" s="526"/>
      <c r="K184" s="548">
        <f t="shared" si="7"/>
        <v>1</v>
      </c>
      <c r="M184" s="379"/>
    </row>
    <row r="185" spans="3:13" ht="29.25" hidden="1" customHeight="1">
      <c r="C185" s="502" t="str">
        <f>+Resúmen!C429</f>
        <v>01.02.06.01.02.09</v>
      </c>
      <c r="D185" s="515" t="str">
        <f>+Resúmen!D429</f>
        <v>INSTALACIÓN DE ACCESORIOS DE HO. DÚCTIL DN 100 - 150</v>
      </c>
      <c r="E185" s="503" t="str">
        <f>+Resúmen!E429</f>
        <v>UND</v>
      </c>
      <c r="F185" s="503">
        <v>1</v>
      </c>
      <c r="G185" s="526">
        <f>+G181+G182+G183+G184</f>
        <v>4</v>
      </c>
      <c r="H185" s="526"/>
      <c r="I185" s="526"/>
      <c r="J185" s="526"/>
      <c r="K185" s="548">
        <f t="shared" si="7"/>
        <v>4</v>
      </c>
      <c r="M185" s="379"/>
    </row>
    <row r="186" spans="3:13" ht="29.25" hidden="1" customHeight="1">
      <c r="C186" s="502" t="str">
        <f>+Resúmen!C430</f>
        <v>01.02.06.01.02.10</v>
      </c>
      <c r="D186" s="515" t="str">
        <f>+Resúmen!D430</f>
        <v>CONCRETO F'C 175 KG/CM2 PARA ANCLAJES DE ACCESORIOS DN 100 - 150 (CEMENTO V)</v>
      </c>
      <c r="E186" s="503" t="str">
        <f>+Resúmen!E430</f>
        <v>UND</v>
      </c>
      <c r="F186" s="503">
        <v>1</v>
      </c>
      <c r="G186" s="526">
        <f>+G185</f>
        <v>4</v>
      </c>
      <c r="H186" s="526"/>
      <c r="I186" s="526"/>
      <c r="J186" s="526"/>
      <c r="K186" s="548">
        <f t="shared" si="7"/>
        <v>4</v>
      </c>
      <c r="M186" s="379"/>
    </row>
    <row r="187" spans="3:13" ht="29.25" hidden="1" customHeight="1">
      <c r="C187" s="508" t="str">
        <f>+Resúmen!C431</f>
        <v>01.02.06.01.03</v>
      </c>
      <c r="D187" s="523" t="str">
        <f>+Resúmen!D431</f>
        <v>INSTALACIONES HIDRÁULICAS EN CÁMARA EXISTENTE</v>
      </c>
      <c r="E187" s="509" t="s">
        <v>156</v>
      </c>
      <c r="F187" s="509">
        <v>0</v>
      </c>
      <c r="G187" s="529"/>
      <c r="H187" s="529"/>
      <c r="I187" s="529"/>
      <c r="J187" s="529"/>
      <c r="K187" s="548">
        <f t="shared" ref="K187:K212" si="8">+PRODUCT(F187:I187)</f>
        <v>0</v>
      </c>
      <c r="M187" s="379"/>
    </row>
    <row r="188" spans="3:13" ht="29.25" hidden="1" customHeight="1">
      <c r="C188" s="502" t="str">
        <f>+Resúmen!C432</f>
        <v>01.02.06.01.03.01</v>
      </c>
      <c r="D188" s="515" t="str">
        <f>+Resúmen!D432</f>
        <v>PICADO Y RESANES DE MURO PARA NUEVAS INSTALACIONES HIDRAULICAS (PASES)</v>
      </c>
      <c r="E188" s="503" t="str">
        <f>+Resúmen!E432</f>
        <v>UND</v>
      </c>
      <c r="F188" s="503">
        <v>1</v>
      </c>
      <c r="G188" s="526">
        <v>1</v>
      </c>
      <c r="H188" s="526"/>
      <c r="I188" s="526"/>
      <c r="J188" s="526"/>
      <c r="K188" s="548">
        <f t="shared" si="8"/>
        <v>1</v>
      </c>
      <c r="M188" s="379"/>
    </row>
    <row r="189" spans="3:13" ht="29.25" hidden="1" customHeight="1">
      <c r="C189" s="502" t="str">
        <f>+Resúmen!C433</f>
        <v>01.02.06.01.03.02</v>
      </c>
      <c r="D189" s="515" t="str">
        <f>+Resúmen!D433</f>
        <v>DADO PARA SOPORTE DE INSTALACIONES HIDRÁULICAS</v>
      </c>
      <c r="E189" s="503" t="str">
        <f>+Resúmen!E433</f>
        <v>UND</v>
      </c>
      <c r="F189" s="503">
        <v>1</v>
      </c>
      <c r="G189" s="526">
        <v>2</v>
      </c>
      <c r="H189" s="526"/>
      <c r="I189" s="526"/>
      <c r="J189" s="526"/>
      <c r="K189" s="548">
        <f t="shared" si="8"/>
        <v>2</v>
      </c>
      <c r="M189" s="379"/>
    </row>
    <row r="190" spans="3:13" ht="29.25" hidden="1" customHeight="1">
      <c r="C190" s="502" t="str">
        <f>+Resúmen!C434</f>
        <v>01.02.06.01.03.03</v>
      </c>
      <c r="D190" s="515" t="str">
        <f>+Resúmen!D434</f>
        <v>TUBERÍA DE ACERO SHC-40 DN 200 INCLUYE 1% DE DESPERDICIO</v>
      </c>
      <c r="E190" s="503" t="str">
        <f>+Resúmen!E434</f>
        <v>M</v>
      </c>
      <c r="F190" s="503">
        <v>1</v>
      </c>
      <c r="G190" s="526">
        <v>3</v>
      </c>
      <c r="H190" s="526"/>
      <c r="I190" s="526"/>
      <c r="J190" s="526"/>
      <c r="K190" s="548">
        <f t="shared" si="8"/>
        <v>3</v>
      </c>
      <c r="M190" s="379"/>
    </row>
    <row r="191" spans="3:13" ht="29.25" hidden="1" customHeight="1">
      <c r="C191" s="502" t="str">
        <f>+Resúmen!C435</f>
        <v>01.02.06.01.03.04</v>
      </c>
      <c r="D191" s="515" t="str">
        <f>+Resúmen!D435</f>
        <v>VÁLVULA MARIPOSA BB DN 200 HO. DÚCTIL EXCÉNT,ASIENTO-EJE ACERO INOXIDABLE</v>
      </c>
      <c r="E191" s="503" t="str">
        <f>+Resúmen!E435</f>
        <v>UND</v>
      </c>
      <c r="F191" s="503">
        <v>1</v>
      </c>
      <c r="G191" s="526">
        <v>1</v>
      </c>
      <c r="H191" s="526"/>
      <c r="I191" s="526"/>
      <c r="J191" s="526"/>
      <c r="K191" s="548">
        <f t="shared" si="8"/>
        <v>1</v>
      </c>
      <c r="M191" s="379"/>
    </row>
    <row r="192" spans="3:13" ht="29.25" hidden="1" customHeight="1">
      <c r="C192" s="502" t="str">
        <f>+Resúmen!C436</f>
        <v>01.02.06.01.03.05</v>
      </c>
      <c r="D192" s="515" t="str">
        <f>+Resúmen!D436</f>
        <v>UNIÓN DE DESMONTAJE AUTOPORTANTE DN 200 MM</v>
      </c>
      <c r="E192" s="503" t="str">
        <f>+Resúmen!E436</f>
        <v>UND</v>
      </c>
      <c r="F192" s="503">
        <v>1</v>
      </c>
      <c r="G192" s="526">
        <v>1</v>
      </c>
      <c r="H192" s="526"/>
      <c r="I192" s="526"/>
      <c r="J192" s="526"/>
      <c r="K192" s="548">
        <f t="shared" si="8"/>
        <v>1</v>
      </c>
      <c r="M192" s="379"/>
    </row>
    <row r="193" spans="3:13" ht="29.25" hidden="1" customHeight="1">
      <c r="C193" s="502" t="str">
        <f>+Resúmen!C437</f>
        <v>01.02.06.01.03.06</v>
      </c>
      <c r="D193" s="515" t="str">
        <f>+Resúmen!D437</f>
        <v>BRIDA DE ACERO PARA SOLDAR Y EMPERNAR DN 200</v>
      </c>
      <c r="E193" s="503" t="str">
        <f>+Resúmen!E437</f>
        <v>UND</v>
      </c>
      <c r="F193" s="503">
        <v>1</v>
      </c>
      <c r="G193" s="526">
        <v>1</v>
      </c>
      <c r="H193" s="526"/>
      <c r="I193" s="526"/>
      <c r="J193" s="526"/>
      <c r="K193" s="548">
        <f t="shared" si="8"/>
        <v>1</v>
      </c>
      <c r="M193" s="379"/>
    </row>
    <row r="194" spans="3:13" ht="29.25" hidden="1" customHeight="1">
      <c r="C194" s="502" t="str">
        <f>+Resúmen!C438</f>
        <v>01.02.06.01.03.07</v>
      </c>
      <c r="D194" s="515" t="str">
        <f>+Resúmen!D438</f>
        <v>EMPAQUETADURA DE JEBE ENLONADA DN 200</v>
      </c>
      <c r="E194" s="503" t="str">
        <f>+Resúmen!E438</f>
        <v>UND</v>
      </c>
      <c r="F194" s="503">
        <v>1</v>
      </c>
      <c r="G194" s="526">
        <v>3</v>
      </c>
      <c r="H194" s="526"/>
      <c r="I194" s="526"/>
      <c r="J194" s="526"/>
      <c r="K194" s="548">
        <f t="shared" si="8"/>
        <v>3</v>
      </c>
      <c r="M194" s="379"/>
    </row>
    <row r="195" spans="3:13" ht="29.25" hidden="1" customHeight="1">
      <c r="C195" s="502" t="str">
        <f>+Resúmen!C439</f>
        <v>01.02.06.01.03.08</v>
      </c>
      <c r="D195" s="515" t="str">
        <f>+Resúmen!D439</f>
        <v>PERNO DE ACERO INCLUYE TUERCA PARA UNIR BRIDAS DN 200</v>
      </c>
      <c r="E195" s="503" t="str">
        <f>+Resúmen!E439</f>
        <v>UND</v>
      </c>
      <c r="F195" s="503">
        <v>1</v>
      </c>
      <c r="G195" s="526">
        <f>+G194*8</f>
        <v>24</v>
      </c>
      <c r="H195" s="526"/>
      <c r="I195" s="526"/>
      <c r="J195" s="526"/>
      <c r="K195" s="548">
        <f t="shared" si="8"/>
        <v>24</v>
      </c>
      <c r="M195" s="379"/>
    </row>
    <row r="196" spans="3:13" ht="29.25" hidden="1" customHeight="1">
      <c r="C196" s="502" t="str">
        <f>+Resúmen!C440</f>
        <v>01.02.06.01.03.09</v>
      </c>
      <c r="D196" s="515" t="str">
        <f>+Resúmen!D440</f>
        <v>MONTAJE DE INSTALACIONES HIDRAULICAS DE LA CISTERNA CR-138</v>
      </c>
      <c r="E196" s="503" t="str">
        <f>+Resúmen!E440</f>
        <v>UND</v>
      </c>
      <c r="F196" s="503">
        <v>1</v>
      </c>
      <c r="G196" s="526">
        <v>1</v>
      </c>
      <c r="H196" s="526"/>
      <c r="I196" s="526"/>
      <c r="J196" s="526"/>
      <c r="K196" s="548">
        <f t="shared" si="8"/>
        <v>1</v>
      </c>
      <c r="M196" s="379"/>
    </row>
    <row r="197" spans="3:13" ht="29.25" hidden="1" customHeight="1">
      <c r="C197" s="506" t="str">
        <f>+Resúmen!C441</f>
        <v>01.02.06.02</v>
      </c>
      <c r="D197" s="522" t="str">
        <f>+Resúmen!D441</f>
        <v>RESERVORIO R-194</v>
      </c>
      <c r="E197" s="507" t="s">
        <v>156</v>
      </c>
      <c r="F197" s="507">
        <v>0</v>
      </c>
      <c r="G197" s="528"/>
      <c r="H197" s="528"/>
      <c r="I197" s="528"/>
      <c r="J197" s="528"/>
      <c r="K197" s="548">
        <f t="shared" si="8"/>
        <v>0</v>
      </c>
      <c r="M197" s="379"/>
    </row>
    <row r="198" spans="3:13" ht="29.25" hidden="1" customHeight="1">
      <c r="C198" s="502" t="str">
        <f>+Resúmen!C442</f>
        <v>01.02.06.02.01</v>
      </c>
      <c r="D198" s="515" t="str">
        <f>+Resúmen!D442</f>
        <v>DADO PARA SOPORTE DE INSTALACIONES HIDRÁULICAS</v>
      </c>
      <c r="E198" s="503" t="str">
        <f>+Resúmen!E442</f>
        <v>UND</v>
      </c>
      <c r="F198" s="503">
        <v>1</v>
      </c>
      <c r="G198" s="526">
        <v>2</v>
      </c>
      <c r="H198" s="526"/>
      <c r="I198" s="526"/>
      <c r="J198" s="526"/>
      <c r="K198" s="548">
        <f t="shared" si="8"/>
        <v>2</v>
      </c>
      <c r="M198" s="379"/>
    </row>
    <row r="199" spans="3:13" ht="29.25" hidden="1" customHeight="1">
      <c r="C199" s="502" t="str">
        <f>+Resúmen!C443</f>
        <v>01.02.06.02.02</v>
      </c>
      <c r="D199" s="515" t="str">
        <f>+Resúmen!D443</f>
        <v>CORTE, RETIRO Y CIERRE DE TUBERÍA DE IMPULSIÓN EXISTENTE.</v>
      </c>
      <c r="E199" s="503" t="str">
        <f>+Resúmen!E443</f>
        <v>UND</v>
      </c>
      <c r="F199" s="503">
        <v>1</v>
      </c>
      <c r="G199" s="526">
        <v>1</v>
      </c>
      <c r="H199" s="526"/>
      <c r="I199" s="526"/>
      <c r="J199" s="526"/>
      <c r="K199" s="548">
        <f t="shared" si="8"/>
        <v>1</v>
      </c>
      <c r="M199" s="379"/>
    </row>
    <row r="200" spans="3:13" ht="29.25" hidden="1" customHeight="1">
      <c r="C200" s="502" t="str">
        <f>+Resúmen!C444</f>
        <v>01.02.06.02.03</v>
      </c>
      <c r="D200" s="515" t="str">
        <f>+Resúmen!D444</f>
        <v>TUBERÍA DE ACERO SHC-40 DN 150 INCLUYE 1% DE DESPERDICIO</v>
      </c>
      <c r="E200" s="503" t="str">
        <f>+Resúmen!E444</f>
        <v>M</v>
      </c>
      <c r="F200" s="503">
        <v>1</v>
      </c>
      <c r="G200" s="526">
        <v>1</v>
      </c>
      <c r="H200" s="526"/>
      <c r="I200" s="526"/>
      <c r="J200" s="526"/>
      <c r="K200" s="548">
        <f t="shared" si="8"/>
        <v>1</v>
      </c>
      <c r="M200" s="379"/>
    </row>
    <row r="201" spans="3:13" ht="29.25" hidden="1" customHeight="1">
      <c r="C201" s="502" t="str">
        <f>+Resúmen!C445</f>
        <v>01.02.06.02.04</v>
      </c>
      <c r="D201" s="515" t="str">
        <f>+Resúmen!D445</f>
        <v>CODO DE HIERRO DÚCTIL DE 45° (1/8) 2 BRIDAS PN 16 DN 150</v>
      </c>
      <c r="E201" s="503" t="str">
        <f>+Resúmen!E445</f>
        <v>UND</v>
      </c>
      <c r="F201" s="503">
        <v>1</v>
      </c>
      <c r="G201" s="526">
        <v>2</v>
      </c>
      <c r="H201" s="526"/>
      <c r="I201" s="526"/>
      <c r="J201" s="526"/>
      <c r="K201" s="548">
        <f t="shared" si="8"/>
        <v>2</v>
      </c>
      <c r="M201" s="379"/>
    </row>
    <row r="202" spans="3:13" ht="29.25" hidden="1" customHeight="1">
      <c r="C202" s="502" t="str">
        <f>+Resúmen!C446</f>
        <v>01.02.06.02.05</v>
      </c>
      <c r="D202" s="515" t="str">
        <f>+Resúmen!D446</f>
        <v>BRIDA-ENCHUFE ESTANDAR DE HIERRO DÚCTIL PN 16 DN 150</v>
      </c>
      <c r="E202" s="503" t="str">
        <f>+Resúmen!E446</f>
        <v>UND</v>
      </c>
      <c r="F202" s="503">
        <v>1</v>
      </c>
      <c r="G202" s="526">
        <v>1</v>
      </c>
      <c r="H202" s="526"/>
      <c r="I202" s="526"/>
      <c r="J202" s="526"/>
      <c r="K202" s="548">
        <f t="shared" si="8"/>
        <v>1</v>
      </c>
      <c r="M202" s="379"/>
    </row>
    <row r="203" spans="3:13" ht="29.25" hidden="1" customHeight="1">
      <c r="C203" s="502" t="str">
        <f>+Resúmen!C447</f>
        <v>01.02.06.02.06</v>
      </c>
      <c r="D203" s="515" t="str">
        <f>+Resúmen!D447</f>
        <v>ACOPLE METÁLICO DE AMPLIO RANGO PARA TUBERÍA DN 150 R= 160/181,6</v>
      </c>
      <c r="E203" s="503" t="str">
        <f>+Resúmen!E447</f>
        <v>UND</v>
      </c>
      <c r="F203" s="503">
        <v>1</v>
      </c>
      <c r="G203" s="526">
        <v>1</v>
      </c>
      <c r="H203" s="526"/>
      <c r="I203" s="526"/>
      <c r="J203" s="526"/>
      <c r="K203" s="548">
        <f t="shared" si="8"/>
        <v>1</v>
      </c>
      <c r="M203" s="379"/>
    </row>
    <row r="204" spans="3:13" ht="29.25" hidden="1" customHeight="1">
      <c r="C204" s="502" t="str">
        <f>+Resúmen!C448</f>
        <v>01.02.06.02.07</v>
      </c>
      <c r="D204" s="515" t="str">
        <f>+Resúmen!D448</f>
        <v>TAPON DE ACERO EMBONE DN 150 MM</v>
      </c>
      <c r="E204" s="503" t="str">
        <f>+Resúmen!E448</f>
        <v>UND</v>
      </c>
      <c r="F204" s="503">
        <v>1</v>
      </c>
      <c r="G204" s="526">
        <v>1</v>
      </c>
      <c r="H204" s="526"/>
      <c r="I204" s="526"/>
      <c r="J204" s="526"/>
      <c r="K204" s="548">
        <f t="shared" si="8"/>
        <v>1</v>
      </c>
      <c r="M204" s="379"/>
    </row>
    <row r="205" spans="3:13" ht="29.25" hidden="1" customHeight="1">
      <c r="C205" s="502" t="str">
        <f>+Resúmen!C449</f>
        <v>01.02.06.02.08</v>
      </c>
      <c r="D205" s="515" t="str">
        <f>+Resúmen!D449</f>
        <v>BRIDA DE ACERO PARA SOLDAR Y EMPERNAR DN 150</v>
      </c>
      <c r="E205" s="503" t="str">
        <f>+Resúmen!E449</f>
        <v>UND</v>
      </c>
      <c r="F205" s="503">
        <v>1</v>
      </c>
      <c r="G205" s="526">
        <v>3</v>
      </c>
      <c r="H205" s="526"/>
      <c r="I205" s="526"/>
      <c r="J205" s="526"/>
      <c r="K205" s="548">
        <f t="shared" si="8"/>
        <v>3</v>
      </c>
      <c r="M205" s="379"/>
    </row>
    <row r="206" spans="3:13" ht="29.25" hidden="1" customHeight="1">
      <c r="C206" s="502" t="str">
        <f>+Resúmen!C450</f>
        <v>01.02.06.02.09</v>
      </c>
      <c r="D206" s="515" t="str">
        <f>+Resúmen!D450</f>
        <v>EMPAQUETADURA DE JEBE ENLONADA DN 150</v>
      </c>
      <c r="E206" s="503" t="str">
        <f>+Resúmen!E450</f>
        <v>UND</v>
      </c>
      <c r="F206" s="503">
        <v>1</v>
      </c>
      <c r="G206" s="526">
        <v>4</v>
      </c>
      <c r="H206" s="526"/>
      <c r="I206" s="526"/>
      <c r="J206" s="526"/>
      <c r="K206" s="548">
        <f t="shared" si="8"/>
        <v>4</v>
      </c>
      <c r="M206" s="379"/>
    </row>
    <row r="207" spans="3:13" ht="29.25" hidden="1" customHeight="1">
      <c r="C207" s="502" t="str">
        <f>+Resúmen!C451</f>
        <v>01.02.06.02.10</v>
      </c>
      <c r="D207" s="515" t="str">
        <f>+Resúmen!D451</f>
        <v>PERNO DE ACERO INCLUYE TUERCA PARA UNIR BRIDAS DN 150</v>
      </c>
      <c r="E207" s="503" t="str">
        <f>+Resúmen!E451</f>
        <v>UND</v>
      </c>
      <c r="F207" s="503">
        <v>1</v>
      </c>
      <c r="G207" s="526">
        <f>+G206*8</f>
        <v>32</v>
      </c>
      <c r="H207" s="526"/>
      <c r="I207" s="526"/>
      <c r="J207" s="526"/>
      <c r="K207" s="548">
        <f t="shared" si="8"/>
        <v>32</v>
      </c>
      <c r="M207" s="379"/>
    </row>
    <row r="208" spans="3:13" ht="29.25" hidden="1" customHeight="1">
      <c r="C208" s="502" t="str">
        <f>+Resúmen!C452</f>
        <v>01.02.06.02.11</v>
      </c>
      <c r="D208" s="515" t="str">
        <f>+Resúmen!D452</f>
        <v>MONTAJE DE INSTALACIONES HIDRAULICAS DE LA CISTERNA R-194</v>
      </c>
      <c r="E208" s="503" t="str">
        <f>+Resúmen!E452</f>
        <v>UND</v>
      </c>
      <c r="F208" s="503">
        <v>1</v>
      </c>
      <c r="G208" s="526">
        <v>1</v>
      </c>
      <c r="H208" s="526"/>
      <c r="I208" s="526"/>
      <c r="J208" s="526"/>
      <c r="K208" s="548">
        <f t="shared" si="8"/>
        <v>1</v>
      </c>
      <c r="M208" s="379"/>
    </row>
    <row r="209" spans="3:13" ht="29.25" customHeight="1">
      <c r="C209" s="510" t="str">
        <f>+Resúmen!C481</f>
        <v>01</v>
      </c>
      <c r="D209" s="524" t="str">
        <f>+Resúmen!D481</f>
        <v>FRENTE 04 "CAMBIO DE LINEA DE IMPULSION DEL CR-156 AL R-209"</v>
      </c>
      <c r="E209" s="511" t="str">
        <f>+Resúmen!E481</f>
        <v/>
      </c>
      <c r="F209" s="511">
        <v>0</v>
      </c>
      <c r="G209" s="530"/>
      <c r="H209" s="530"/>
      <c r="I209" s="530"/>
      <c r="J209" s="530"/>
      <c r="K209" s="548">
        <f t="shared" si="8"/>
        <v>0</v>
      </c>
      <c r="M209" s="379"/>
    </row>
    <row r="210" spans="3:13" ht="29.25" customHeight="1">
      <c r="C210" s="500" t="str">
        <f>+Resúmen!C491</f>
        <v>01.02</v>
      </c>
      <c r="D210" s="520" t="str">
        <f>+Resúmen!D491</f>
        <v>LINEA DE IMPULSIÓN FRENTE - 04</v>
      </c>
      <c r="E210" s="501" t="str">
        <f>+Resúmen!E491</f>
        <v/>
      </c>
      <c r="F210" s="501">
        <v>0</v>
      </c>
      <c r="G210" s="531"/>
      <c r="H210" s="531"/>
      <c r="I210" s="531"/>
      <c r="J210" s="531"/>
      <c r="K210" s="548">
        <f t="shared" si="8"/>
        <v>0</v>
      </c>
      <c r="M210" s="379"/>
    </row>
    <row r="211" spans="3:13" ht="29.25" customHeight="1">
      <c r="C211" s="504" t="str">
        <f>+Resúmen!C492</f>
        <v>01.02.01</v>
      </c>
      <c r="D211" s="521" t="str">
        <f>+Resúmen!D492</f>
        <v>TRABAJOS PRELIMINARES</v>
      </c>
      <c r="E211" s="505" t="str">
        <f>+Resúmen!E492</f>
        <v/>
      </c>
      <c r="F211" s="505">
        <v>0</v>
      </c>
      <c r="G211" s="527"/>
      <c r="H211" s="527"/>
      <c r="I211" s="527"/>
      <c r="J211" s="527"/>
      <c r="K211" s="548">
        <f t="shared" si="8"/>
        <v>0</v>
      </c>
      <c r="M211" s="379"/>
    </row>
    <row r="212" spans="3:13" ht="29.25" customHeight="1">
      <c r="C212" s="502" t="str">
        <f>+Resúmen!C503</f>
        <v>01.02.01.11</v>
      </c>
      <c r="D212" s="515" t="str">
        <f>+Resúmen!D503</f>
        <v>TRANSPORTE A ZONA S/ACCESO:MAT.,DESMONTE P/LÍNEA DN 100 - 150 T-ROCOSO</v>
      </c>
      <c r="E212" s="503" t="str">
        <f>+Resúmen!E503</f>
        <v>M</v>
      </c>
      <c r="F212" s="503">
        <v>1</v>
      </c>
      <c r="G212" s="526">
        <f>+SUM(G213:G217)</f>
        <v>178.28</v>
      </c>
      <c r="H212" s="526"/>
      <c r="I212" s="526"/>
      <c r="J212" s="526"/>
      <c r="K212" s="548">
        <f t="shared" si="8"/>
        <v>178.28</v>
      </c>
      <c r="M212" s="379"/>
    </row>
    <row r="213" spans="3:13">
      <c r="C213" s="502"/>
      <c r="D213" s="533" t="s">
        <v>1111</v>
      </c>
      <c r="E213" s="503"/>
      <c r="F213" s="503"/>
      <c r="G213" s="526">
        <v>51.51</v>
      </c>
      <c r="H213" s="526"/>
      <c r="I213" s="526"/>
      <c r="J213" s="526"/>
      <c r="K213" s="548"/>
      <c r="M213" s="379"/>
    </row>
    <row r="214" spans="3:13">
      <c r="C214" s="502"/>
      <c r="D214" s="533" t="s">
        <v>1112</v>
      </c>
      <c r="E214" s="503"/>
      <c r="F214" s="503"/>
      <c r="G214" s="526">
        <v>33.159999999999997</v>
      </c>
      <c r="H214" s="526"/>
      <c r="I214" s="526"/>
      <c r="J214" s="526"/>
      <c r="K214" s="548"/>
      <c r="M214" s="379"/>
    </row>
    <row r="215" spans="3:13">
      <c r="C215" s="502"/>
      <c r="D215" s="533" t="s">
        <v>1113</v>
      </c>
      <c r="E215" s="503"/>
      <c r="F215" s="503"/>
      <c r="G215" s="526">
        <v>13.52</v>
      </c>
      <c r="H215" s="526"/>
      <c r="I215" s="526"/>
      <c r="J215" s="526"/>
      <c r="K215" s="548"/>
      <c r="M215" s="379"/>
    </row>
    <row r="216" spans="3:13">
      <c r="C216" s="502"/>
      <c r="D216" s="533" t="s">
        <v>1114</v>
      </c>
      <c r="E216" s="503"/>
      <c r="F216" s="503"/>
      <c r="G216" s="526">
        <v>30.66</v>
      </c>
      <c r="H216" s="526"/>
      <c r="I216" s="526"/>
      <c r="J216" s="526"/>
      <c r="K216" s="548"/>
      <c r="M216" s="379"/>
    </row>
    <row r="217" spans="3:13">
      <c r="C217" s="502"/>
      <c r="D217" s="533" t="s">
        <v>1115</v>
      </c>
      <c r="E217" s="503"/>
      <c r="F217" s="503"/>
      <c r="G217" s="526">
        <v>49.43</v>
      </c>
      <c r="H217" s="526"/>
      <c r="I217" s="526"/>
      <c r="J217" s="526"/>
      <c r="K217" s="548"/>
      <c r="M217" s="379"/>
    </row>
    <row r="218" spans="3:13">
      <c r="C218" s="502"/>
      <c r="D218" s="515"/>
      <c r="E218" s="503"/>
      <c r="F218" s="503"/>
      <c r="G218" s="526"/>
      <c r="H218" s="526"/>
      <c r="I218" s="526"/>
      <c r="J218" s="526"/>
      <c r="K218" s="548"/>
      <c r="M218" s="379"/>
    </row>
    <row r="219" spans="3:13" ht="29.25" customHeight="1">
      <c r="C219" s="502" t="str">
        <f>+Resúmen!C504</f>
        <v>01.02.01.12</v>
      </c>
      <c r="D219" s="515" t="str">
        <f>+Resúmen!D504</f>
        <v>PROTECCION DE REDES EXISTENTES DE DN 100 A 150</v>
      </c>
      <c r="E219" s="503" t="str">
        <f>+Resúmen!E504</f>
        <v>UND</v>
      </c>
      <c r="F219" s="503">
        <v>1</v>
      </c>
      <c r="G219" s="526">
        <v>18</v>
      </c>
      <c r="H219" s="526"/>
      <c r="I219" s="526"/>
      <c r="J219" s="526"/>
      <c r="K219" s="548">
        <f t="shared" ref="K219:K250" si="9">+PRODUCT(F219:I219)</f>
        <v>18</v>
      </c>
      <c r="M219" s="379"/>
    </row>
    <row r="220" spans="3:13" ht="29.25" customHeight="1">
      <c r="C220" s="502" t="str">
        <f>+Resúmen!C505</f>
        <v>01.02.01.13</v>
      </c>
      <c r="D220" s="515" t="str">
        <f>+Resúmen!D505</f>
        <v>PROTECCION DE REDES EXISTENTES DE DN 200 A 250</v>
      </c>
      <c r="E220" s="503" t="str">
        <f>+Resúmen!E505</f>
        <v>UND</v>
      </c>
      <c r="F220" s="503">
        <v>1</v>
      </c>
      <c r="G220" s="526">
        <v>12</v>
      </c>
      <c r="H220" s="526"/>
      <c r="I220" s="526"/>
      <c r="J220" s="526"/>
      <c r="K220" s="548">
        <f t="shared" si="9"/>
        <v>12</v>
      </c>
      <c r="M220" s="379"/>
    </row>
    <row r="221" spans="3:13" ht="29.25" customHeight="1">
      <c r="C221" s="502" t="str">
        <f>+Resúmen!C506</f>
        <v>01.02.01.14</v>
      </c>
      <c r="D221" s="515" t="str">
        <f>+Resúmen!D506</f>
        <v>PROTECCION DE CONEXIONES DOMICILIARIAS DE AGUA POTABLE</v>
      </c>
      <c r="E221" s="503" t="str">
        <f>+Resúmen!E506</f>
        <v>UND</v>
      </c>
      <c r="F221" s="503">
        <v>1</v>
      </c>
      <c r="G221" s="526">
        <v>28</v>
      </c>
      <c r="H221" s="526"/>
      <c r="I221" s="526"/>
      <c r="J221" s="526"/>
      <c r="K221" s="548">
        <f t="shared" si="9"/>
        <v>28</v>
      </c>
      <c r="M221" s="379"/>
    </row>
    <row r="222" spans="3:13" ht="29.25" customHeight="1">
      <c r="C222" s="502" t="str">
        <f>+Resúmen!C507</f>
        <v>01.02.01.15</v>
      </c>
      <c r="D222" s="515" t="str">
        <f>+Resúmen!D507</f>
        <v>PROTECCION DE CONEXIONES DOMICILIARIAS DE DESAGÜE</v>
      </c>
      <c r="E222" s="503" t="str">
        <f>+Resúmen!E507</f>
        <v>UND</v>
      </c>
      <c r="F222" s="503">
        <v>1</v>
      </c>
      <c r="G222" s="526">
        <v>22</v>
      </c>
      <c r="H222" s="526"/>
      <c r="I222" s="526"/>
      <c r="J222" s="526"/>
      <c r="K222" s="548">
        <f t="shared" si="9"/>
        <v>22</v>
      </c>
      <c r="M222" s="379"/>
    </row>
    <row r="223" spans="3:13" ht="29.25" customHeight="1">
      <c r="C223" s="502" t="str">
        <f>+Resúmen!C508</f>
        <v>01.02.01.16</v>
      </c>
      <c r="D223" s="515" t="str">
        <f>+Resúmen!D508</f>
        <v>PROTECCION DE CABLE ELÉCTRICO DE BAJA TENSIÓN</v>
      </c>
      <c r="E223" s="503" t="str">
        <f>+Resúmen!E508</f>
        <v>UND</v>
      </c>
      <c r="F223" s="503">
        <v>1</v>
      </c>
      <c r="G223" s="526">
        <v>5</v>
      </c>
      <c r="H223" s="526"/>
      <c r="I223" s="526"/>
      <c r="J223" s="526"/>
      <c r="K223" s="548">
        <f t="shared" si="9"/>
        <v>5</v>
      </c>
      <c r="M223" s="379"/>
    </row>
    <row r="224" spans="3:13" ht="29.25" customHeight="1">
      <c r="C224" s="502" t="str">
        <f>+Resúmen!C509</f>
        <v>01.02.01.17</v>
      </c>
      <c r="D224" s="515" t="str">
        <f>+Resúmen!D509</f>
        <v>PROTECCION DE CABLES TELEFÓNICOS</v>
      </c>
      <c r="E224" s="503" t="str">
        <f>+Resúmen!E509</f>
        <v>UND</v>
      </c>
      <c r="F224" s="503">
        <v>1</v>
      </c>
      <c r="G224" s="526">
        <v>3</v>
      </c>
      <c r="H224" s="526"/>
      <c r="I224" s="526"/>
      <c r="J224" s="526"/>
      <c r="K224" s="548">
        <f t="shared" si="9"/>
        <v>3</v>
      </c>
      <c r="M224" s="379"/>
    </row>
    <row r="225" spans="3:13" ht="29.25" customHeight="1">
      <c r="C225" s="502" t="str">
        <f>+Resúmen!C510</f>
        <v>01.02.01.18</v>
      </c>
      <c r="D225" s="515" t="str">
        <f>+Resúmen!D510</f>
        <v>PROTECCION DE POSTES PARA ALUMBRADO - TELEFONO</v>
      </c>
      <c r="E225" s="503" t="str">
        <f>+Resúmen!E510</f>
        <v>UND</v>
      </c>
      <c r="F225" s="503">
        <v>1</v>
      </c>
      <c r="G225" s="526">
        <v>10</v>
      </c>
      <c r="H225" s="526"/>
      <c r="I225" s="526"/>
      <c r="J225" s="526"/>
      <c r="K225" s="548">
        <f t="shared" si="9"/>
        <v>10</v>
      </c>
      <c r="M225" s="379"/>
    </row>
    <row r="226" spans="3:13" ht="29.25" customHeight="1">
      <c r="C226" s="504" t="str">
        <f>+Resúmen!C561</f>
        <v>01.02.06</v>
      </c>
      <c r="D226" s="521" t="str">
        <f>+Resúmen!D561</f>
        <v>MEJORAMIENTO DE INSTALACIONES HIDRÁULICAS EN ESTRUCTURAS EXISTENTES</v>
      </c>
      <c r="E226" s="505" t="s">
        <v>156</v>
      </c>
      <c r="F226" s="505">
        <v>0</v>
      </c>
      <c r="G226" s="527"/>
      <c r="H226" s="527"/>
      <c r="I226" s="527"/>
      <c r="J226" s="527"/>
      <c r="K226" s="548">
        <f t="shared" si="9"/>
        <v>0</v>
      </c>
      <c r="M226" s="379"/>
    </row>
    <row r="227" spans="3:13" ht="29.25" customHeight="1">
      <c r="C227" s="506" t="str">
        <f>+Resúmen!C562</f>
        <v>01.02.06.01</v>
      </c>
      <c r="D227" s="522" t="str">
        <f>+Resúmen!D562</f>
        <v>CISTERNA CRR-156</v>
      </c>
      <c r="E227" s="507" t="s">
        <v>156</v>
      </c>
      <c r="F227" s="507">
        <v>0</v>
      </c>
      <c r="G227" s="528"/>
      <c r="H227" s="528"/>
      <c r="I227" s="528"/>
      <c r="J227" s="528"/>
      <c r="K227" s="548">
        <f t="shared" si="9"/>
        <v>0</v>
      </c>
      <c r="M227" s="379"/>
    </row>
    <row r="228" spans="3:13" ht="29.25" customHeight="1">
      <c r="C228" s="502" t="str">
        <f>+Resúmen!C563</f>
        <v>01.02.06.01.01</v>
      </c>
      <c r="D228" s="515" t="str">
        <f>+Resúmen!D563</f>
        <v>CORTE, RETIRO Y CIERRE DE TUBERÍA DE IMPULSIÓN EXISTENTE.</v>
      </c>
      <c r="E228" s="503" t="str">
        <f>+Resúmen!E563</f>
        <v>UND</v>
      </c>
      <c r="F228" s="503">
        <v>1</v>
      </c>
      <c r="G228" s="526">
        <v>1</v>
      </c>
      <c r="H228" s="526"/>
      <c r="I228" s="526"/>
      <c r="J228" s="526"/>
      <c r="K228" s="548">
        <f t="shared" si="9"/>
        <v>1</v>
      </c>
      <c r="M228" s="379"/>
    </row>
    <row r="229" spans="3:13" ht="29.25" customHeight="1">
      <c r="C229" s="502" t="str">
        <f>+Resúmen!C564</f>
        <v>01.02.06.01.02</v>
      </c>
      <c r="D229" s="515" t="str">
        <f>+Resúmen!D564</f>
        <v>TUBERÍA DE ACERO SHC-40 DN 100 INCLUYE 1% DE DESPERDICIO</v>
      </c>
      <c r="E229" s="503" t="str">
        <f>+Resúmen!E564</f>
        <v>M</v>
      </c>
      <c r="F229" s="503">
        <v>1</v>
      </c>
      <c r="G229" s="526">
        <v>4.4000000000000004</v>
      </c>
      <c r="H229" s="526"/>
      <c r="I229" s="526"/>
      <c r="J229" s="526"/>
      <c r="K229" s="548">
        <f t="shared" si="9"/>
        <v>4.4000000000000004</v>
      </c>
      <c r="M229" s="379"/>
    </row>
    <row r="230" spans="3:13" ht="29.25" customHeight="1">
      <c r="C230" s="502" t="str">
        <f>+Resúmen!C565</f>
        <v>01.02.06.01.03</v>
      </c>
      <c r="D230" s="515" t="str">
        <f>+Resúmen!D565</f>
        <v>TRANSICIÓN BRIDA-CAMPANA DE HO. DUCTIL PN 16 DN 100 MM</v>
      </c>
      <c r="E230" s="503" t="str">
        <f>+Resúmen!E565</f>
        <v>UND</v>
      </c>
      <c r="F230" s="503">
        <v>1</v>
      </c>
      <c r="G230" s="526">
        <v>1</v>
      </c>
      <c r="H230" s="526"/>
      <c r="I230" s="526"/>
      <c r="J230" s="526"/>
      <c r="K230" s="548">
        <f t="shared" si="9"/>
        <v>1</v>
      </c>
      <c r="M230" s="379"/>
    </row>
    <row r="231" spans="3:13" ht="29.25" customHeight="1">
      <c r="C231" s="502" t="str">
        <f>+Resúmen!C566</f>
        <v>01.02.06.01.04</v>
      </c>
      <c r="D231" s="515" t="str">
        <f>+Resúmen!D566</f>
        <v>CODO DE HIERRO DÚCTIL DE 45° (1/8) 2 BRIDAS PN 16 DN 100</v>
      </c>
      <c r="E231" s="503" t="str">
        <f>+Resúmen!E566</f>
        <v>UND</v>
      </c>
      <c r="F231" s="503">
        <v>1</v>
      </c>
      <c r="G231" s="526">
        <v>2</v>
      </c>
      <c r="H231" s="526"/>
      <c r="I231" s="526"/>
      <c r="J231" s="526"/>
      <c r="K231" s="548">
        <f t="shared" si="9"/>
        <v>2</v>
      </c>
      <c r="M231" s="379"/>
    </row>
    <row r="232" spans="3:13" ht="29.25" customHeight="1">
      <c r="C232" s="502" t="str">
        <f>+Resúmen!C567</f>
        <v>01.02.06.01.05</v>
      </c>
      <c r="D232" s="515" t="str">
        <f>+Resúmen!D567</f>
        <v>BRIDA DE ACERO PARA SOLDAR Y EMPERNAR DN 100</v>
      </c>
      <c r="E232" s="503" t="str">
        <f>+Resúmen!E567</f>
        <v>UND</v>
      </c>
      <c r="F232" s="503">
        <v>1</v>
      </c>
      <c r="G232" s="526">
        <v>3</v>
      </c>
      <c r="H232" s="526"/>
      <c r="I232" s="526"/>
      <c r="J232" s="526"/>
      <c r="K232" s="548">
        <f t="shared" si="9"/>
        <v>3</v>
      </c>
      <c r="M232" s="379"/>
    </row>
    <row r="233" spans="3:13" ht="29.25" customHeight="1">
      <c r="C233" s="502" t="str">
        <f>+Resúmen!C568</f>
        <v>01.02.06.01.06</v>
      </c>
      <c r="D233" s="515" t="str">
        <f>+Resúmen!D568</f>
        <v>EMPAQUETADURA DE JEBE ENLONADA DN 100</v>
      </c>
      <c r="E233" s="503" t="str">
        <f>+Resúmen!E568</f>
        <v>UND</v>
      </c>
      <c r="F233" s="503">
        <v>1</v>
      </c>
      <c r="G233" s="526">
        <v>4</v>
      </c>
      <c r="H233" s="526"/>
      <c r="I233" s="526"/>
      <c r="J233" s="526"/>
      <c r="K233" s="548">
        <f t="shared" si="9"/>
        <v>4</v>
      </c>
      <c r="M233" s="379"/>
    </row>
    <row r="234" spans="3:13" ht="29.25" customHeight="1">
      <c r="C234" s="502" t="str">
        <f>+Resúmen!C569</f>
        <v>01.02.06.01.07</v>
      </c>
      <c r="D234" s="515" t="str">
        <f>+Resúmen!D569</f>
        <v>PERNO DE ACERO INCLUYE TUERCA PARA UNIR BRIDAS DN 100</v>
      </c>
      <c r="E234" s="503" t="str">
        <f>+Resúmen!E569</f>
        <v>UND</v>
      </c>
      <c r="F234" s="503">
        <v>1</v>
      </c>
      <c r="G234" s="526">
        <f>+G233*8</f>
        <v>32</v>
      </c>
      <c r="H234" s="526"/>
      <c r="I234" s="526"/>
      <c r="J234" s="526"/>
      <c r="K234" s="548">
        <f t="shared" si="9"/>
        <v>32</v>
      </c>
      <c r="M234" s="379"/>
    </row>
    <row r="235" spans="3:13" ht="29.25" customHeight="1">
      <c r="C235" s="502" t="str">
        <f>+Resúmen!C570</f>
        <v>01.02.06.01.08</v>
      </c>
      <c r="D235" s="515" t="str">
        <f>+Resúmen!D570</f>
        <v>MONTAJE DE INSTALACIONES HIDRAULICAS DE LA CISTERNA CR-156</v>
      </c>
      <c r="E235" s="503" t="str">
        <f>+Resúmen!E570</f>
        <v>UND</v>
      </c>
      <c r="F235" s="503">
        <v>1</v>
      </c>
      <c r="G235" s="526">
        <v>1</v>
      </c>
      <c r="H235" s="526"/>
      <c r="I235" s="526"/>
      <c r="J235" s="526"/>
      <c r="K235" s="548">
        <f t="shared" si="9"/>
        <v>1</v>
      </c>
      <c r="M235" s="379"/>
    </row>
    <row r="236" spans="3:13" ht="29.25" customHeight="1">
      <c r="C236" s="506" t="str">
        <f>+Resúmen!C571</f>
        <v>01.02.06.02</v>
      </c>
      <c r="D236" s="522" t="str">
        <f>+Resúmen!D571</f>
        <v>DERIVACIÓN (0+585.79)</v>
      </c>
      <c r="E236" s="507" t="s">
        <v>156</v>
      </c>
      <c r="F236" s="507">
        <v>0</v>
      </c>
      <c r="G236" s="528"/>
      <c r="H236" s="528"/>
      <c r="I236" s="528"/>
      <c r="J236" s="528"/>
      <c r="K236" s="548">
        <f t="shared" si="9"/>
        <v>0</v>
      </c>
      <c r="M236" s="379"/>
    </row>
    <row r="237" spans="3:13" ht="29.25" customHeight="1">
      <c r="C237" s="508" t="str">
        <f>+Resúmen!C572</f>
        <v>01.02.06.02.01</v>
      </c>
      <c r="D237" s="523" t="str">
        <f>+Resúmen!D572</f>
        <v>OBRAS CIVILES</v>
      </c>
      <c r="E237" s="509" t="s">
        <v>156</v>
      </c>
      <c r="F237" s="509">
        <v>0</v>
      </c>
      <c r="G237" s="529"/>
      <c r="H237" s="529"/>
      <c r="I237" s="529"/>
      <c r="J237" s="529"/>
      <c r="K237" s="548">
        <f t="shared" si="9"/>
        <v>0</v>
      </c>
      <c r="M237" s="379"/>
    </row>
    <row r="238" spans="3:13" ht="29.25" customHeight="1">
      <c r="C238" s="502" t="str">
        <f>+Resúmen!C573</f>
        <v>01.02.06.02.01.01</v>
      </c>
      <c r="D238" s="515" t="str">
        <f>+Resúmen!D573</f>
        <v>TRAZO Y REPLANTEO INICIAL DEL PROYECTO, PARA LÍNEAS-REDES CON ESTACIÓN TOTAL</v>
      </c>
      <c r="E238" s="503" t="s">
        <v>158</v>
      </c>
      <c r="F238" s="503">
        <v>1</v>
      </c>
      <c r="G238" s="526">
        <f>+G239</f>
        <v>1.771E-2</v>
      </c>
      <c r="H238" s="526"/>
      <c r="I238" s="526"/>
      <c r="J238" s="526"/>
      <c r="K238" s="548">
        <f t="shared" si="9"/>
        <v>1.771E-2</v>
      </c>
      <c r="M238" s="379"/>
    </row>
    <row r="239" spans="3:13" ht="29.25" customHeight="1">
      <c r="C239" s="502" t="str">
        <f>+Resúmen!C574</f>
        <v>01.02.06.02.01.02</v>
      </c>
      <c r="D239" s="515" t="str">
        <f>+Resúmen!D574</f>
        <v>REPLANTEO FINAL DE LA OBRA, PARA LÍNEAS REDES CON ESTACIÓN TOTAL</v>
      </c>
      <c r="E239" s="503" t="s">
        <v>158</v>
      </c>
      <c r="F239" s="503">
        <v>1</v>
      </c>
      <c r="G239" s="526">
        <f>+G242/1000</f>
        <v>1.771E-2</v>
      </c>
      <c r="H239" s="526"/>
      <c r="I239" s="526"/>
      <c r="J239" s="526"/>
      <c r="K239" s="548">
        <f t="shared" si="9"/>
        <v>1.771E-2</v>
      </c>
      <c r="M239" s="379"/>
    </row>
    <row r="240" spans="3:13" ht="29.25" customHeight="1">
      <c r="C240" s="502" t="str">
        <f>+Resúmen!C575</f>
        <v>01.02.06.02.01.03</v>
      </c>
      <c r="D240" s="515" t="str">
        <f>+Resúmen!D575</f>
        <v>CINTA PLÁSTICA SEÑALIZADORA PARA LÍMITE DE SEGURIDAD DE OBRA</v>
      </c>
      <c r="E240" s="503" t="s">
        <v>161</v>
      </c>
      <c r="F240" s="503">
        <v>1</v>
      </c>
      <c r="G240" s="526">
        <f>+G242*2</f>
        <v>35.42</v>
      </c>
      <c r="H240" s="526"/>
      <c r="I240" s="526"/>
      <c r="J240" s="526"/>
      <c r="K240" s="548">
        <f t="shared" si="9"/>
        <v>35.42</v>
      </c>
      <c r="M240" s="379"/>
    </row>
    <row r="241" spans="3:13" ht="29.25" customHeight="1">
      <c r="C241" s="502" t="str">
        <f>+Resúmen!C576</f>
        <v>01.02.06.02.01.04</v>
      </c>
      <c r="D241" s="515" t="str">
        <f>+Resúmen!D576</f>
        <v>CERCO DE MALLA HDP DE 1 M ALTURA PARA LÍMITE DE SEGURIDAD DE OBRA</v>
      </c>
      <c r="E241" s="503" t="s">
        <v>161</v>
      </c>
      <c r="F241" s="503">
        <v>1</v>
      </c>
      <c r="G241" s="526">
        <f>+G242*2</f>
        <v>35.42</v>
      </c>
      <c r="H241" s="526"/>
      <c r="I241" s="526"/>
      <c r="J241" s="526"/>
      <c r="K241" s="548">
        <f t="shared" si="9"/>
        <v>35.42</v>
      </c>
      <c r="M241" s="379"/>
    </row>
    <row r="242" spans="3:13" ht="29.25" customHeight="1">
      <c r="C242" s="502" t="str">
        <f>+Resúmen!C577</f>
        <v>01.02.06.02.01.05</v>
      </c>
      <c r="D242" s="515" t="str">
        <f>+Resúmen!D577</f>
        <v>RIEGO DE ZONA DE TRABAJO PARA MITIGAR LA CONTAMINACIÓN - POLVO (INCL. COSTO DE AGUA Y TRANSPORTE SURTIDOR A OBRA )</v>
      </c>
      <c r="E242" s="503" t="s">
        <v>161</v>
      </c>
      <c r="F242" s="503">
        <v>1</v>
      </c>
      <c r="G242" s="526">
        <f>+G243</f>
        <v>17.71</v>
      </c>
      <c r="H242" s="526"/>
      <c r="I242" s="526"/>
      <c r="J242" s="526"/>
      <c r="K242" s="548">
        <f t="shared" si="9"/>
        <v>17.71</v>
      </c>
      <c r="M242" s="379"/>
    </row>
    <row r="243" spans="3:13" ht="29.25" customHeight="1">
      <c r="C243" s="502" t="str">
        <f>+Resúmen!C578</f>
        <v>01.02.06.02.01.06</v>
      </c>
      <c r="D243" s="515" t="str">
        <f>+Resúmen!D578</f>
        <v>EXCAVACIÓN ZANJA (S/EXP) P/TUB. T-ROCOSO DN 100 - 150 DE 1,26 M A 1,50 M PROF.</v>
      </c>
      <c r="E243" s="503" t="s">
        <v>161</v>
      </c>
      <c r="F243" s="503">
        <v>1</v>
      </c>
      <c r="G243" s="526">
        <v>17.71</v>
      </c>
      <c r="H243" s="526"/>
      <c r="I243" s="526"/>
      <c r="J243" s="526"/>
      <c r="K243" s="548">
        <f t="shared" si="9"/>
        <v>17.71</v>
      </c>
      <c r="M243" s="379"/>
    </row>
    <row r="244" spans="3:13" ht="29.25" customHeight="1">
      <c r="C244" s="502" t="str">
        <f>+Resúmen!C579</f>
        <v>01.02.06.02.01.07</v>
      </c>
      <c r="D244" s="515" t="str">
        <f>+Resúmen!D579</f>
        <v>REFINE Y NIVEL DE ZANJA TERR-ROCOSO P/ TUB. DN 100 - 150 PARA TODA PROFUND.</v>
      </c>
      <c r="E244" s="503" t="s">
        <v>161</v>
      </c>
      <c r="F244" s="503">
        <v>1</v>
      </c>
      <c r="G244" s="526">
        <f>+G243</f>
        <v>17.71</v>
      </c>
      <c r="H244" s="526"/>
      <c r="I244" s="526"/>
      <c r="J244" s="526"/>
      <c r="K244" s="548">
        <f t="shared" si="9"/>
        <v>17.71</v>
      </c>
      <c r="M244" s="379"/>
    </row>
    <row r="245" spans="3:13" ht="29.25" customHeight="1">
      <c r="C245" s="502" t="str">
        <f>+Resúmen!C580</f>
        <v>01.02.06.02.01.08</v>
      </c>
      <c r="D245" s="515" t="str">
        <f>+Resúmen!D580</f>
        <v>RELLENO COMP.ZANJA(PULSO)P/TUB T-ROCOSO DN 100 - 150 DE 1,26 M A 1,50 M PROF.</v>
      </c>
      <c r="E245" s="503" t="s">
        <v>161</v>
      </c>
      <c r="F245" s="503">
        <v>1</v>
      </c>
      <c r="G245" s="526">
        <f>+G244</f>
        <v>17.71</v>
      </c>
      <c r="H245" s="526"/>
      <c r="I245" s="526"/>
      <c r="J245" s="526"/>
      <c r="K245" s="548">
        <f t="shared" si="9"/>
        <v>17.71</v>
      </c>
      <c r="M245" s="379"/>
    </row>
    <row r="246" spans="3:13" ht="29.25" customHeight="1">
      <c r="C246" s="502" t="str">
        <f>+Resúmen!C581</f>
        <v>01.02.06.02.01.09</v>
      </c>
      <c r="D246" s="515" t="str">
        <f>+Resúmen!D581</f>
        <v>ELIMIN. DESMONTE(CARG+V) T-ROCOSO D=20KM P/TUB DN 100 - 150 DE 1,26 M A 1,50 M</v>
      </c>
      <c r="E246" s="503" t="s">
        <v>161</v>
      </c>
      <c r="F246" s="503">
        <v>1</v>
      </c>
      <c r="G246" s="526">
        <f>+G245</f>
        <v>17.71</v>
      </c>
      <c r="H246" s="526"/>
      <c r="I246" s="526"/>
      <c r="J246" s="526"/>
      <c r="K246" s="548">
        <f t="shared" si="9"/>
        <v>17.71</v>
      </c>
      <c r="M246" s="379"/>
    </row>
    <row r="247" spans="3:13" ht="29.25" customHeight="1">
      <c r="C247" s="502" t="str">
        <f>+Resúmen!C582</f>
        <v>01.02.06.02.01.10</v>
      </c>
      <c r="D247" s="515" t="str">
        <f>+Resúmen!D582</f>
        <v>CORTE, RETIRO Y CIERRE DE TUBERÍA DE IMPULSIÓN EXISTENTE.</v>
      </c>
      <c r="E247" s="503" t="str">
        <f>+Resúmen!E582</f>
        <v>UND</v>
      </c>
      <c r="F247" s="503">
        <v>1</v>
      </c>
      <c r="G247" s="526">
        <v>1</v>
      </c>
      <c r="H247" s="526"/>
      <c r="I247" s="526"/>
      <c r="J247" s="526"/>
      <c r="K247" s="548">
        <f t="shared" si="9"/>
        <v>1</v>
      </c>
      <c r="M247" s="379"/>
    </row>
    <row r="248" spans="3:13" ht="29.25" customHeight="1">
      <c r="C248" s="508" t="str">
        <f>+Resúmen!C583</f>
        <v>01.02.06.02.02</v>
      </c>
      <c r="D248" s="523" t="str">
        <f>+Resúmen!D583</f>
        <v>INSTALACIÓN HIDRÁULICAS</v>
      </c>
      <c r="E248" s="509" t="s">
        <v>156</v>
      </c>
      <c r="F248" s="509">
        <v>0</v>
      </c>
      <c r="G248" s="529"/>
      <c r="H248" s="529"/>
      <c r="I248" s="529"/>
      <c r="J248" s="529"/>
      <c r="K248" s="548">
        <f t="shared" si="9"/>
        <v>0</v>
      </c>
      <c r="M248" s="379"/>
    </row>
    <row r="249" spans="3:13" ht="29.25" customHeight="1">
      <c r="C249" s="502" t="str">
        <f>+Resúmen!C584</f>
        <v>01.02.06.02.02.01</v>
      </c>
      <c r="D249" s="515" t="str">
        <f>+Resúmen!D584</f>
        <v>TUBERÍA DE HIERRO DÚCTIL K-9 DN 100 INCLUYE ANILLO + 1% DE DESPERDICIO</v>
      </c>
      <c r="E249" s="503" t="s">
        <v>161</v>
      </c>
      <c r="F249" s="503">
        <v>1</v>
      </c>
      <c r="G249" s="526">
        <v>17.71</v>
      </c>
      <c r="H249" s="526"/>
      <c r="I249" s="526"/>
      <c r="J249" s="526"/>
      <c r="K249" s="548">
        <f t="shared" si="9"/>
        <v>17.71</v>
      </c>
      <c r="M249" s="379"/>
    </row>
    <row r="250" spans="3:13" ht="29.25" customHeight="1">
      <c r="C250" s="502" t="str">
        <f>+Resúmen!C585</f>
        <v>01.02.06.02.02.02</v>
      </c>
      <c r="D250" s="515" t="str">
        <f>+Resúmen!D585</f>
        <v>INSTALACIÓN DE TUBERÍA DE HIERRO DÚCTIL DN 100 INCLUYE PRUEBA HIDRÁULICA</v>
      </c>
      <c r="E250" s="503" t="s">
        <v>161</v>
      </c>
      <c r="F250" s="503">
        <v>1</v>
      </c>
      <c r="G250" s="526">
        <f>+G249</f>
        <v>17.71</v>
      </c>
      <c r="H250" s="526"/>
      <c r="I250" s="526"/>
      <c r="J250" s="526"/>
      <c r="K250" s="548">
        <f t="shared" si="9"/>
        <v>17.71</v>
      </c>
      <c r="M250" s="379"/>
    </row>
    <row r="251" spans="3:13" ht="29.25" customHeight="1">
      <c r="C251" s="502" t="str">
        <f>+Resúmen!C586</f>
        <v>01.02.06.02.02.03</v>
      </c>
      <c r="D251" s="515" t="str">
        <f>+Resúmen!D586</f>
        <v>SUMINISTRO E INSTALACIÓN DE MANGA HDPE E= 8 MILS (200 MICRONES) PARA PROTECCIÓN DE TUBERÍA HD DN 100</v>
      </c>
      <c r="E251" s="503" t="s">
        <v>161</v>
      </c>
      <c r="F251" s="503">
        <v>1</v>
      </c>
      <c r="G251" s="526">
        <f>+G250</f>
        <v>17.71</v>
      </c>
      <c r="H251" s="526"/>
      <c r="I251" s="526"/>
      <c r="J251" s="526"/>
      <c r="K251" s="548">
        <f t="shared" ref="K251:K274" si="10">+PRODUCT(F251:I251)</f>
        <v>17.71</v>
      </c>
      <c r="M251" s="379"/>
    </row>
    <row r="252" spans="3:13" ht="29.25" customHeight="1">
      <c r="C252" s="502" t="str">
        <f>+Resúmen!C587</f>
        <v>01.02.06.02.02.04</v>
      </c>
      <c r="D252" s="515" t="str">
        <f>+Resúmen!D587</f>
        <v>PRUEBA HIDRÁULICA DE TUBERÍA AGUA POTAB. DN 100</v>
      </c>
      <c r="E252" s="503" t="s">
        <v>161</v>
      </c>
      <c r="F252" s="503">
        <v>1</v>
      </c>
      <c r="G252" s="526">
        <f>+G251</f>
        <v>17.71</v>
      </c>
      <c r="H252" s="526"/>
      <c r="I252" s="526"/>
      <c r="J252" s="526"/>
      <c r="K252" s="548">
        <f t="shared" si="10"/>
        <v>17.71</v>
      </c>
      <c r="M252" s="379"/>
    </row>
    <row r="253" spans="3:13" ht="29.25" customHeight="1">
      <c r="C253" s="502" t="str">
        <f>+Resúmen!C588</f>
        <v>01.02.06.02.02.05</v>
      </c>
      <c r="D253" s="515" t="str">
        <f>+Resúmen!D588</f>
        <v>CODO HIERRO DÚCTIL DE 45° (1/8) 2 ENCHUFES ESTANDAR DN 100</v>
      </c>
      <c r="E253" s="503" t="s">
        <v>163</v>
      </c>
      <c r="F253" s="503">
        <v>1</v>
      </c>
      <c r="G253" s="526">
        <v>2</v>
      </c>
      <c r="H253" s="526"/>
      <c r="I253" s="526"/>
      <c r="J253" s="526"/>
      <c r="K253" s="548">
        <f t="shared" si="10"/>
        <v>2</v>
      </c>
      <c r="M253" s="379"/>
    </row>
    <row r="254" spans="3:13" ht="29.25" customHeight="1">
      <c r="C254" s="502" t="str">
        <f>+Resúmen!C589</f>
        <v>01.02.06.02.02.06</v>
      </c>
      <c r="D254" s="515" t="str">
        <f>+Resúmen!D589</f>
        <v>TRANSICIÓN BRIDA-CAMPANA DE HO. DUCTIL PN 16 DN 100 MM</v>
      </c>
      <c r="E254" s="503" t="str">
        <f>+Resúmen!E589</f>
        <v>UND</v>
      </c>
      <c r="F254" s="503">
        <v>1</v>
      </c>
      <c r="G254" s="526">
        <v>1</v>
      </c>
      <c r="H254" s="526"/>
      <c r="I254" s="526"/>
      <c r="J254" s="526"/>
      <c r="K254" s="548">
        <f t="shared" si="10"/>
        <v>1</v>
      </c>
      <c r="M254" s="379"/>
    </row>
    <row r="255" spans="3:13" ht="29.25" customHeight="1">
      <c r="C255" s="502" t="str">
        <f>+Resúmen!C590</f>
        <v>01.02.06.02.02.07</v>
      </c>
      <c r="D255" s="515" t="str">
        <f>+Resúmen!D590</f>
        <v>REDUCCIÓN HO. DÚCTIL 2 ENCHUFES ESTANDAR DN 150 A 100</v>
      </c>
      <c r="E255" s="503" t="s">
        <v>163</v>
      </c>
      <c r="F255" s="503">
        <v>1</v>
      </c>
      <c r="G255" s="526">
        <v>1</v>
      </c>
      <c r="H255" s="526"/>
      <c r="I255" s="526"/>
      <c r="J255" s="526"/>
      <c r="K255" s="548">
        <f t="shared" si="10"/>
        <v>1</v>
      </c>
      <c r="M255" s="379"/>
    </row>
    <row r="256" spans="3:13" ht="29.25" customHeight="1">
      <c r="C256" s="502" t="str">
        <f>+Resúmen!C591</f>
        <v>01.02.06.02.02.08</v>
      </c>
      <c r="D256" s="515" t="str">
        <f>+Resúmen!D591</f>
        <v>VÁLVULA CPTA.BB, HO.DÚCTIL CIERRE ELÁST. VÁSTAGO ACERO INOXIDABLE DN 100</v>
      </c>
      <c r="E256" s="503" t="str">
        <f>+Resúmen!E591</f>
        <v>UND</v>
      </c>
      <c r="F256" s="503">
        <v>1</v>
      </c>
      <c r="G256" s="526">
        <v>1</v>
      </c>
      <c r="H256" s="526"/>
      <c r="I256" s="526"/>
      <c r="J256" s="526"/>
      <c r="K256" s="548">
        <f t="shared" si="10"/>
        <v>1</v>
      </c>
      <c r="M256" s="379"/>
    </row>
    <row r="257" spans="3:13" ht="29.25" customHeight="1">
      <c r="C257" s="502" t="str">
        <f>+Resúmen!C592</f>
        <v>01.02.06.02.02.09</v>
      </c>
      <c r="D257" s="515" t="str">
        <f>+Resúmen!D592</f>
        <v>EMPAQUETADURA DE JEBE ENLONADA DN 100</v>
      </c>
      <c r="E257" s="503" t="str">
        <f>+Resúmen!E592</f>
        <v>UND</v>
      </c>
      <c r="F257" s="503">
        <v>1</v>
      </c>
      <c r="G257" s="526">
        <v>2</v>
      </c>
      <c r="H257" s="526"/>
      <c r="I257" s="526"/>
      <c r="J257" s="526"/>
      <c r="K257" s="548">
        <f t="shared" si="10"/>
        <v>2</v>
      </c>
      <c r="M257" s="379"/>
    </row>
    <row r="258" spans="3:13" ht="29.25" customHeight="1">
      <c r="C258" s="502" t="str">
        <f>+Resúmen!C593</f>
        <v>01.02.06.02.02.10</v>
      </c>
      <c r="D258" s="515" t="str">
        <f>+Resúmen!D593</f>
        <v>PERNO DE ACERO INCLUYE TUERCA PARA UNIR BRIDAS DN 100</v>
      </c>
      <c r="E258" s="503" t="str">
        <f>+Resúmen!E593</f>
        <v>UND</v>
      </c>
      <c r="F258" s="503">
        <v>1</v>
      </c>
      <c r="G258" s="526">
        <v>16</v>
      </c>
      <c r="H258" s="526"/>
      <c r="I258" s="526"/>
      <c r="J258" s="526"/>
      <c r="K258" s="548">
        <f t="shared" si="10"/>
        <v>16</v>
      </c>
      <c r="M258" s="379"/>
    </row>
    <row r="259" spans="3:13" ht="29.25" customHeight="1">
      <c r="C259" s="502" t="str">
        <f>+Resúmen!C594</f>
        <v>01.02.06.02.02.11</v>
      </c>
      <c r="D259" s="515" t="str">
        <f>+Resúmen!D594</f>
        <v>INSTALACIÓN DE ACCESORIOS DE HO. DÚCTIL DN 100 - 150</v>
      </c>
      <c r="E259" s="503" t="s">
        <v>163</v>
      </c>
      <c r="F259" s="503">
        <v>1</v>
      </c>
      <c r="G259" s="526">
        <v>4</v>
      </c>
      <c r="H259" s="526"/>
      <c r="I259" s="526"/>
      <c r="J259" s="526"/>
      <c r="K259" s="548">
        <f t="shared" si="10"/>
        <v>4</v>
      </c>
      <c r="M259" s="379"/>
    </row>
    <row r="260" spans="3:13" ht="29.25" customHeight="1">
      <c r="C260" s="502" t="str">
        <f>+Resúmen!C595</f>
        <v>01.02.06.02.02.12</v>
      </c>
      <c r="D260" s="515" t="str">
        <f>+Resúmen!D595</f>
        <v>CONCRETO F'C 175 KG/CM2 PARA ANCLAJES DE ACCESORIOS DN 100 - 150 (CEMENTO V)</v>
      </c>
      <c r="E260" s="503" t="s">
        <v>163</v>
      </c>
      <c r="F260" s="503">
        <v>1</v>
      </c>
      <c r="G260" s="526">
        <f>+G259</f>
        <v>4</v>
      </c>
      <c r="H260" s="526"/>
      <c r="I260" s="526"/>
      <c r="J260" s="526"/>
      <c r="K260" s="548">
        <f t="shared" si="10"/>
        <v>4</v>
      </c>
      <c r="M260" s="379"/>
    </row>
    <row r="261" spans="3:13" ht="29.25" customHeight="1">
      <c r="C261" s="506" t="str">
        <f>+Resúmen!C596</f>
        <v>01.02.06.03</v>
      </c>
      <c r="D261" s="522" t="str">
        <f>+Resúmen!D596</f>
        <v>RESERVORIO RP-04</v>
      </c>
      <c r="E261" s="507" t="s">
        <v>156</v>
      </c>
      <c r="F261" s="507">
        <v>0</v>
      </c>
      <c r="G261" s="528"/>
      <c r="H261" s="528"/>
      <c r="I261" s="528"/>
      <c r="J261" s="528"/>
      <c r="K261" s="548">
        <f t="shared" si="10"/>
        <v>0</v>
      </c>
      <c r="M261" s="379"/>
    </row>
    <row r="262" spans="3:13" ht="29.25" customHeight="1">
      <c r="C262" s="502" t="str">
        <f>+Resúmen!C597</f>
        <v>01.02.06.03.01</v>
      </c>
      <c r="D262" s="515" t="str">
        <f>+Resúmen!D597</f>
        <v>PASE DE TUBERÍA POR ESTRUCTURA EXISTENTE INCL. ROTURA Y RESANE</v>
      </c>
      <c r="E262" s="503" t="str">
        <f>+Resúmen!E597</f>
        <v>UND</v>
      </c>
      <c r="F262" s="503">
        <v>1</v>
      </c>
      <c r="G262" s="526">
        <v>1</v>
      </c>
      <c r="H262" s="526"/>
      <c r="I262" s="526"/>
      <c r="J262" s="526"/>
      <c r="K262" s="548">
        <f t="shared" si="10"/>
        <v>1</v>
      </c>
      <c r="M262" s="379"/>
    </row>
    <row r="263" spans="3:13" ht="29.25" customHeight="1">
      <c r="C263" s="502" t="str">
        <f>+Resúmen!C598</f>
        <v>01.02.06.03.02</v>
      </c>
      <c r="D263" s="515" t="str">
        <f>+Resúmen!D598</f>
        <v>CORTE+ROTURA, ED Y REPOSICIÓN DE PISO F'C 140 KG/CM2 DE 10 CM ESPESOR (CEMENTO PV)</v>
      </c>
      <c r="E263" s="503" t="str">
        <f>+Resúmen!E598</f>
        <v>M2</v>
      </c>
      <c r="F263" s="503">
        <v>1</v>
      </c>
      <c r="G263" s="526">
        <f>4*2</f>
        <v>8</v>
      </c>
      <c r="H263" s="526"/>
      <c r="I263" s="526"/>
      <c r="J263" s="526"/>
      <c r="K263" s="548">
        <f t="shared" si="10"/>
        <v>8</v>
      </c>
      <c r="M263" s="379"/>
    </row>
    <row r="264" spans="3:13" ht="29.25" customHeight="1">
      <c r="C264" s="502" t="str">
        <f>+Resúmen!C599</f>
        <v>01.02.06.03.03</v>
      </c>
      <c r="D264" s="515" t="str">
        <f>+Resúmen!D599</f>
        <v>CORTE, RETIRO Y CIERRE DE TUBERÍA DE IMPULSIÓN EXISTENTE.</v>
      </c>
      <c r="E264" s="503" t="str">
        <f>+Resúmen!E599</f>
        <v>UND</v>
      </c>
      <c r="F264" s="503">
        <v>1</v>
      </c>
      <c r="G264" s="526">
        <v>1</v>
      </c>
      <c r="H264" s="526"/>
      <c r="I264" s="526"/>
      <c r="J264" s="526"/>
      <c r="K264" s="548">
        <f t="shared" si="10"/>
        <v>1</v>
      </c>
      <c r="M264" s="379"/>
    </row>
    <row r="265" spans="3:13" ht="29.25" customHeight="1">
      <c r="C265" s="502" t="str">
        <f>+Resúmen!C600</f>
        <v>01.02.06.03.04</v>
      </c>
      <c r="D265" s="515" t="str">
        <f>+Resúmen!D600</f>
        <v>TUBERÍA DE ACERO SHC-40 P/EQUIPAMIENTO DN 100 INCLUYE 1% DE DESPERDICIO</v>
      </c>
      <c r="E265" s="503" t="str">
        <f>+Resúmen!E600</f>
        <v>M</v>
      </c>
      <c r="F265" s="503">
        <v>1</v>
      </c>
      <c r="G265" s="526">
        <v>5.9</v>
      </c>
      <c r="H265" s="526"/>
      <c r="I265" s="526"/>
      <c r="J265" s="526"/>
      <c r="K265" s="548">
        <f t="shared" si="10"/>
        <v>5.9</v>
      </c>
      <c r="M265" s="379"/>
    </row>
    <row r="266" spans="3:13" ht="29.25" customHeight="1">
      <c r="C266" s="502" t="str">
        <f>+Resúmen!C601</f>
        <v>01.02.06.03.05</v>
      </c>
      <c r="D266" s="515" t="str">
        <f>+Resúmen!D601</f>
        <v>TUBERÍA DE ACERO SHC-40 P/EQUIPAMIENTO DN 150 INCLUYE 1% DE DESPERDICIO</v>
      </c>
      <c r="E266" s="503" t="str">
        <f>+Resúmen!E601</f>
        <v>M</v>
      </c>
      <c r="F266" s="503">
        <v>1</v>
      </c>
      <c r="G266" s="526">
        <v>1</v>
      </c>
      <c r="H266" s="526"/>
      <c r="I266" s="526"/>
      <c r="J266" s="526"/>
      <c r="K266" s="548">
        <f t="shared" si="10"/>
        <v>1</v>
      </c>
      <c r="M266" s="379"/>
    </row>
    <row r="267" spans="3:13" ht="29.25" customHeight="1">
      <c r="C267" s="502" t="str">
        <f>+Resúmen!C602</f>
        <v>01.02.06.03.06</v>
      </c>
      <c r="D267" s="515" t="str">
        <f>+Resúmen!D602</f>
        <v>ACOPLE METÁLICO DE AMPLIO RANGO PARA TUBERÍA DN 100 R= 110/127,8</v>
      </c>
      <c r="E267" s="503" t="str">
        <f>+Resúmen!E602</f>
        <v>UND</v>
      </c>
      <c r="F267" s="503">
        <v>1</v>
      </c>
      <c r="G267" s="526">
        <v>1</v>
      </c>
      <c r="H267" s="526"/>
      <c r="I267" s="526"/>
      <c r="J267" s="526"/>
      <c r="K267" s="548">
        <f t="shared" si="10"/>
        <v>1</v>
      </c>
      <c r="M267" s="379"/>
    </row>
    <row r="268" spans="3:13" ht="29.25" customHeight="1">
      <c r="C268" s="502" t="str">
        <f>+Resúmen!C603</f>
        <v>01.02.06.03.07</v>
      </c>
      <c r="D268" s="515" t="str">
        <f>+Resúmen!D603</f>
        <v>ACOPLE METÁLICO DE AMPLIO RANGO PARA TUBERÍA DN 150 R= 160/181,6</v>
      </c>
      <c r="E268" s="503" t="str">
        <f>+Resúmen!E603</f>
        <v>UND</v>
      </c>
      <c r="F268" s="503">
        <v>1</v>
      </c>
      <c r="G268" s="526">
        <v>1</v>
      </c>
      <c r="H268" s="526"/>
      <c r="I268" s="526"/>
      <c r="J268" s="526"/>
      <c r="K268" s="548">
        <f t="shared" si="10"/>
        <v>1</v>
      </c>
      <c r="M268" s="379"/>
    </row>
    <row r="269" spans="3:13" ht="29.25" customHeight="1">
      <c r="C269" s="502" t="str">
        <f>+Resúmen!C604</f>
        <v>01.02.06.03.08</v>
      </c>
      <c r="D269" s="515" t="str">
        <f>+Resúmen!D604</f>
        <v>CODO HIERRO DÚCTIL DE 45° (1/8) 2 ENCHUFES ESTANDAR DN 100</v>
      </c>
      <c r="E269" s="503" t="str">
        <f>+Resúmen!E604</f>
        <v>UND</v>
      </c>
      <c r="F269" s="503">
        <v>1</v>
      </c>
      <c r="G269" s="526">
        <v>2</v>
      </c>
      <c r="H269" s="526"/>
      <c r="I269" s="526"/>
      <c r="J269" s="526"/>
      <c r="K269" s="548">
        <f t="shared" si="10"/>
        <v>2</v>
      </c>
      <c r="M269" s="379"/>
    </row>
    <row r="270" spans="3:13" ht="29.25" customHeight="1">
      <c r="C270" s="502" t="str">
        <f>+Resúmen!C605</f>
        <v>01.02.06.03.09</v>
      </c>
      <c r="D270" s="515" t="str">
        <f>+Resúmen!D605</f>
        <v>REDUCCIÓN HO. DÚCTIL 2 ENCHUFES ESTANDAR DN 150 A 100</v>
      </c>
      <c r="E270" s="503" t="str">
        <f>+Resúmen!E605</f>
        <v>UND</v>
      </c>
      <c r="F270" s="503">
        <v>1</v>
      </c>
      <c r="G270" s="526">
        <v>1</v>
      </c>
      <c r="H270" s="526"/>
      <c r="I270" s="526"/>
      <c r="J270" s="526"/>
      <c r="K270" s="548">
        <f t="shared" si="10"/>
        <v>1</v>
      </c>
      <c r="M270" s="379"/>
    </row>
    <row r="271" spans="3:13" ht="29.25" customHeight="1">
      <c r="C271" s="502" t="str">
        <f>+Resúmen!C606</f>
        <v>01.02.06.03.10</v>
      </c>
      <c r="D271" s="515" t="str">
        <f>+Resúmen!D606</f>
        <v>MONTAJE DE INSTALACIONES HIDRAULICAS DEL RESERVORIO RP-04</v>
      </c>
      <c r="E271" s="503" t="str">
        <f>+Resúmen!E606</f>
        <v>UND</v>
      </c>
      <c r="F271" s="503">
        <v>1</v>
      </c>
      <c r="G271" s="526">
        <v>1</v>
      </c>
      <c r="H271" s="526"/>
      <c r="I271" s="526"/>
      <c r="J271" s="526"/>
      <c r="K271" s="548">
        <f t="shared" si="10"/>
        <v>1</v>
      </c>
      <c r="M271" s="379"/>
    </row>
    <row r="272" spans="3:13" ht="29.25" customHeight="1">
      <c r="C272" s="504" t="str">
        <f>+Resúmen!C639</f>
        <v>01.02.09</v>
      </c>
      <c r="D272" s="521" t="str">
        <f>+Resúmen!D639</f>
        <v>MURO DE CONTENCION</v>
      </c>
      <c r="E272" s="505" t="s">
        <v>156</v>
      </c>
      <c r="F272" s="505">
        <v>0</v>
      </c>
      <c r="G272" s="527"/>
      <c r="H272" s="527"/>
      <c r="I272" s="527"/>
      <c r="J272" s="527"/>
      <c r="K272" s="548">
        <f t="shared" si="10"/>
        <v>0</v>
      </c>
      <c r="M272" s="379"/>
    </row>
    <row r="273" spans="3:13" ht="29.25" customHeight="1">
      <c r="C273" s="502" t="str">
        <f>+Resúmen!C640</f>
        <v>01.02.09.01</v>
      </c>
      <c r="D273" s="515" t="str">
        <f>+Resúmen!D640</f>
        <v>TRAZO Y REPLANTEO</v>
      </c>
      <c r="E273" s="503" t="str">
        <f>+Resúmen!E640</f>
        <v>M2</v>
      </c>
      <c r="F273" s="503">
        <v>1</v>
      </c>
      <c r="G273" s="526">
        <v>17</v>
      </c>
      <c r="H273" s="526">
        <v>0.75</v>
      </c>
      <c r="I273" s="526"/>
      <c r="J273" s="526"/>
      <c r="K273" s="548">
        <f t="shared" si="10"/>
        <v>12.75</v>
      </c>
      <c r="M273" s="379"/>
    </row>
    <row r="274" spans="3:13" ht="29.25" customHeight="1">
      <c r="C274" s="502" t="str">
        <f>+Resúmen!C641</f>
        <v>01.02.09.02</v>
      </c>
      <c r="D274" s="515" t="str">
        <f>+Resúmen!D641</f>
        <v>REPLANTEO FINAL DE LA OBRA CON ESTACIÓN TOTAL</v>
      </c>
      <c r="E274" s="503" t="str">
        <f>+Resúmen!E641</f>
        <v>M2</v>
      </c>
      <c r="F274" s="503">
        <v>1</v>
      </c>
      <c r="G274" s="526">
        <v>17</v>
      </c>
      <c r="H274" s="526">
        <v>0.75</v>
      </c>
      <c r="I274" s="526"/>
      <c r="J274" s="526"/>
      <c r="K274" s="548">
        <f t="shared" si="10"/>
        <v>12.75</v>
      </c>
      <c r="M274" s="379"/>
    </row>
    <row r="275" spans="3:13" ht="29.25" customHeight="1">
      <c r="C275" s="502" t="str">
        <f>+Resúmen!C642</f>
        <v>01.02.09.03</v>
      </c>
      <c r="D275" s="515" t="str">
        <f>+Resúmen!D642</f>
        <v>EXCAVACION TERRENO ROCOSO</v>
      </c>
      <c r="E275" s="503" t="str">
        <f>+Resúmen!E642</f>
        <v>M3</v>
      </c>
      <c r="F275" s="503"/>
      <c r="G275" s="526"/>
      <c r="H275" s="526"/>
      <c r="I275" s="526"/>
      <c r="J275" s="526"/>
      <c r="K275" s="548">
        <f>+SUM(J276:J278)</f>
        <v>26.675999999999995</v>
      </c>
      <c r="M275" s="379"/>
    </row>
    <row r="276" spans="3:13">
      <c r="C276" s="502"/>
      <c r="D276" s="533" t="s">
        <v>1129</v>
      </c>
      <c r="E276" s="503"/>
      <c r="F276" s="503">
        <v>1</v>
      </c>
      <c r="G276" s="526">
        <v>17</v>
      </c>
      <c r="H276" s="526">
        <v>1.1499999999999999</v>
      </c>
      <c r="I276" s="526">
        <v>1.3</v>
      </c>
      <c r="J276" s="526">
        <f t="shared" ref="J276:J278" si="11">+PRODUCT(F276:I276)</f>
        <v>25.414999999999996</v>
      </c>
      <c r="K276" s="551"/>
      <c r="M276" s="379"/>
    </row>
    <row r="277" spans="3:13">
      <c r="C277" s="502"/>
      <c r="D277" s="552" t="s">
        <v>1130</v>
      </c>
      <c r="E277" s="503"/>
      <c r="F277" s="503">
        <v>1</v>
      </c>
      <c r="G277" s="526">
        <v>0.3</v>
      </c>
      <c r="H277" s="526">
        <v>1.1499999999999999</v>
      </c>
      <c r="I277" s="526">
        <v>1.3</v>
      </c>
      <c r="J277" s="526">
        <f t="shared" si="11"/>
        <v>0.44849999999999995</v>
      </c>
      <c r="K277" s="551"/>
      <c r="M277" s="379"/>
    </row>
    <row r="278" spans="3:13">
      <c r="C278" s="502"/>
      <c r="D278" s="552" t="s">
        <v>1130</v>
      </c>
      <c r="E278" s="503"/>
      <c r="F278" s="503">
        <v>1</v>
      </c>
      <c r="G278" s="526">
        <v>0.5</v>
      </c>
      <c r="H278" s="526">
        <v>1.25</v>
      </c>
      <c r="I278" s="526">
        <v>1.3</v>
      </c>
      <c r="J278" s="526">
        <f t="shared" si="11"/>
        <v>0.8125</v>
      </c>
      <c r="K278" s="551"/>
      <c r="M278" s="379"/>
    </row>
    <row r="279" spans="3:13">
      <c r="C279" s="502"/>
      <c r="D279" s="515"/>
      <c r="E279" s="503"/>
      <c r="F279" s="503"/>
      <c r="G279" s="526"/>
      <c r="H279" s="526"/>
      <c r="I279" s="526"/>
      <c r="J279" s="526"/>
      <c r="K279" s="548"/>
      <c r="M279" s="379"/>
    </row>
    <row r="280" spans="3:13" ht="29.25" customHeight="1">
      <c r="C280" s="502" t="str">
        <f>+Resúmen!C643</f>
        <v>01.02.09.04</v>
      </c>
      <c r="D280" s="515" t="str">
        <f>+Resúmen!D643</f>
        <v>REFINE, NIVELACIÓN Y COMPACTACIÓN EN TERRENO NORMAL A PULSO</v>
      </c>
      <c r="E280" s="503" t="str">
        <f>+Resúmen!E643</f>
        <v>M2</v>
      </c>
      <c r="F280" s="503"/>
      <c r="G280" s="526"/>
      <c r="H280" s="526"/>
      <c r="I280" s="526"/>
      <c r="J280" s="526"/>
      <c r="K280" s="548">
        <f>+SUM(J281:J283)</f>
        <v>13.4</v>
      </c>
      <c r="M280" s="379"/>
    </row>
    <row r="281" spans="3:13">
      <c r="C281" s="502"/>
      <c r="D281" s="515"/>
      <c r="E281" s="503"/>
      <c r="F281" s="503">
        <v>1</v>
      </c>
      <c r="G281" s="526">
        <f>+G276</f>
        <v>17</v>
      </c>
      <c r="H281" s="526">
        <v>0.75</v>
      </c>
      <c r="I281" s="526"/>
      <c r="J281" s="526">
        <f>+PRODUCT(F281:I281)</f>
        <v>12.75</v>
      </c>
      <c r="K281" s="551"/>
      <c r="M281" s="379"/>
    </row>
    <row r="282" spans="3:13">
      <c r="C282" s="502"/>
      <c r="D282" s="515"/>
      <c r="E282" s="503"/>
      <c r="F282" s="503">
        <v>1</v>
      </c>
      <c r="G282" s="526">
        <f t="shared" ref="G282:G283" si="12">+G277</f>
        <v>0.3</v>
      </c>
      <c r="H282" s="526">
        <v>0.75</v>
      </c>
      <c r="I282" s="526"/>
      <c r="J282" s="526">
        <f t="shared" ref="J282:J283" si="13">+PRODUCT(F282:I282)</f>
        <v>0.22499999999999998</v>
      </c>
      <c r="K282" s="551"/>
      <c r="M282" s="379"/>
    </row>
    <row r="283" spans="3:13">
      <c r="C283" s="502"/>
      <c r="D283" s="515"/>
      <c r="E283" s="503"/>
      <c r="F283" s="503">
        <v>1</v>
      </c>
      <c r="G283" s="526">
        <f t="shared" si="12"/>
        <v>0.5</v>
      </c>
      <c r="H283" s="526">
        <v>0.85</v>
      </c>
      <c r="I283" s="526"/>
      <c r="J283" s="526">
        <f t="shared" si="13"/>
        <v>0.42499999999999999</v>
      </c>
      <c r="K283" s="551"/>
      <c r="M283" s="379"/>
    </row>
    <row r="284" spans="3:13">
      <c r="C284" s="502"/>
      <c r="D284" s="515"/>
      <c r="E284" s="503"/>
      <c r="F284" s="503"/>
      <c r="G284" s="526"/>
      <c r="H284" s="526"/>
      <c r="I284" s="526"/>
      <c r="J284" s="526"/>
      <c r="K284" s="548"/>
      <c r="M284" s="379"/>
    </row>
    <row r="285" spans="3:13" ht="29.25" customHeight="1">
      <c r="C285" s="502" t="str">
        <f>+Resúmen!C644</f>
        <v>01.02.09.05</v>
      </c>
      <c r="D285" s="515" t="str">
        <f>+Resúmen!D644</f>
        <v>RELLENO COMPACTADO EN TERRENO ROCOSO A PULSO</v>
      </c>
      <c r="E285" s="503" t="str">
        <f>+Resúmen!E644</f>
        <v>M3</v>
      </c>
      <c r="F285" s="503">
        <v>1</v>
      </c>
      <c r="G285" s="526"/>
      <c r="H285" s="526"/>
      <c r="I285" s="526"/>
      <c r="J285" s="526"/>
      <c r="K285" s="548">
        <f>+SUM(J286:J288)</f>
        <v>11.57</v>
      </c>
      <c r="M285" s="379"/>
    </row>
    <row r="286" spans="3:13">
      <c r="C286" s="502"/>
      <c r="D286" s="515"/>
      <c r="E286" s="503"/>
      <c r="F286" s="503">
        <v>1</v>
      </c>
      <c r="G286" s="526">
        <f>+G281</f>
        <v>17</v>
      </c>
      <c r="H286" s="526">
        <v>0.5</v>
      </c>
      <c r="I286" s="526">
        <v>1.3</v>
      </c>
      <c r="J286" s="526">
        <f>+PRODUCT(F286:I286)</f>
        <v>11.05</v>
      </c>
      <c r="K286" s="551"/>
      <c r="M286" s="379"/>
    </row>
    <row r="287" spans="3:13">
      <c r="C287" s="502"/>
      <c r="D287" s="515"/>
      <c r="E287" s="503"/>
      <c r="F287" s="503">
        <v>1</v>
      </c>
      <c r="G287" s="526">
        <f t="shared" ref="G287:G288" si="14">+G282</f>
        <v>0.3</v>
      </c>
      <c r="H287" s="526">
        <f>+H286</f>
        <v>0.5</v>
      </c>
      <c r="I287" s="526">
        <f>+I286</f>
        <v>1.3</v>
      </c>
      <c r="J287" s="526">
        <f t="shared" ref="J287:J288" si="15">+PRODUCT(F287:I287)</f>
        <v>0.19500000000000001</v>
      </c>
      <c r="K287" s="551"/>
      <c r="M287" s="379"/>
    </row>
    <row r="288" spans="3:13">
      <c r="C288" s="502"/>
      <c r="D288" s="515"/>
      <c r="E288" s="503"/>
      <c r="F288" s="503">
        <v>1</v>
      </c>
      <c r="G288" s="526">
        <f t="shared" si="14"/>
        <v>0.5</v>
      </c>
      <c r="H288" s="526">
        <f>+H287</f>
        <v>0.5</v>
      </c>
      <c r="I288" s="526">
        <f>+I287</f>
        <v>1.3</v>
      </c>
      <c r="J288" s="526">
        <f t="shared" si="15"/>
        <v>0.32500000000000001</v>
      </c>
      <c r="K288" s="551"/>
      <c r="M288" s="379"/>
    </row>
    <row r="289" spans="3:13">
      <c r="C289" s="502"/>
      <c r="D289" s="515"/>
      <c r="E289" s="503"/>
      <c r="F289" s="503"/>
      <c r="G289" s="526"/>
      <c r="H289" s="526"/>
      <c r="I289" s="526"/>
      <c r="J289" s="526"/>
      <c r="K289" s="551"/>
      <c r="M289" s="379"/>
    </row>
    <row r="290" spans="3:13" ht="29.25" customHeight="1">
      <c r="C290" s="502" t="str">
        <f>+Resúmen!C645</f>
        <v>01.02.09.06</v>
      </c>
      <c r="D290" s="515" t="str">
        <f>+Resúmen!D645</f>
        <v>ELIMINACIÓN DE DESMONTE EN TERRENO ROCOSO R=20 KM A PULSO</v>
      </c>
      <c r="E290" s="503" t="str">
        <f>+Resúmen!E645</f>
        <v>M3</v>
      </c>
      <c r="F290" s="503">
        <v>1</v>
      </c>
      <c r="G290" s="526"/>
      <c r="H290" s="526"/>
      <c r="I290" s="526"/>
      <c r="J290" s="526"/>
      <c r="K290" s="548">
        <f>+SUM(J291:J292)</f>
        <v>15.105999999999995</v>
      </c>
      <c r="M290" s="379"/>
    </row>
    <row r="291" spans="3:13">
      <c r="C291" s="502"/>
      <c r="D291" s="552" t="s">
        <v>1131</v>
      </c>
      <c r="E291" s="503"/>
      <c r="F291" s="503">
        <v>1</v>
      </c>
      <c r="G291" s="526">
        <f>+K275</f>
        <v>26.675999999999995</v>
      </c>
      <c r="H291" s="526"/>
      <c r="I291" s="526"/>
      <c r="J291" s="526">
        <f t="shared" ref="J291:J292" si="16">+PRODUCT(F291:I291)</f>
        <v>26.675999999999995</v>
      </c>
      <c r="K291" s="551"/>
      <c r="M291" s="379"/>
    </row>
    <row r="292" spans="3:13">
      <c r="C292" s="502"/>
      <c r="D292" s="552" t="s">
        <v>1132</v>
      </c>
      <c r="E292" s="503"/>
      <c r="F292" s="503">
        <v>-1</v>
      </c>
      <c r="G292" s="526">
        <f>+K285</f>
        <v>11.57</v>
      </c>
      <c r="H292" s="526"/>
      <c r="I292" s="526"/>
      <c r="J292" s="526">
        <f t="shared" si="16"/>
        <v>-11.57</v>
      </c>
      <c r="K292" s="551"/>
      <c r="M292" s="379"/>
    </row>
    <row r="293" spans="3:13">
      <c r="C293" s="502"/>
      <c r="D293" s="515"/>
      <c r="E293" s="503"/>
      <c r="F293" s="503"/>
      <c r="G293" s="526"/>
      <c r="H293" s="526"/>
      <c r="I293" s="526"/>
      <c r="J293" s="526"/>
      <c r="K293" s="551"/>
      <c r="M293" s="379"/>
    </row>
    <row r="294" spans="3:13" ht="29.25" customHeight="1">
      <c r="C294" s="502" t="str">
        <f>+Resúmen!C646</f>
        <v>01.02.09.07</v>
      </c>
      <c r="D294" s="515" t="str">
        <f>+Resúmen!D646</f>
        <v>CONCRETO F'C 100 KG/CM2 PARA SOLADOS Y/O SUB BASES (CEMENTO P-V)</v>
      </c>
      <c r="E294" s="503" t="str">
        <f>+Resúmen!E646</f>
        <v>M3</v>
      </c>
      <c r="F294" s="503">
        <v>1</v>
      </c>
      <c r="G294" s="526"/>
      <c r="H294" s="526"/>
      <c r="I294" s="526"/>
      <c r="J294" s="526"/>
      <c r="K294" s="548">
        <f>+SUM(J295:J297)</f>
        <v>1.34</v>
      </c>
      <c r="M294" s="379"/>
    </row>
    <row r="295" spans="3:13">
      <c r="C295" s="502"/>
      <c r="D295" s="515"/>
      <c r="E295" s="503"/>
      <c r="F295" s="503">
        <v>1</v>
      </c>
      <c r="G295" s="526">
        <v>17</v>
      </c>
      <c r="H295" s="526">
        <v>0.75</v>
      </c>
      <c r="I295" s="526">
        <v>0.1</v>
      </c>
      <c r="J295" s="526">
        <f>+PRODUCT(F295:I295)</f>
        <v>1.2750000000000001</v>
      </c>
      <c r="K295" s="551"/>
      <c r="M295" s="379"/>
    </row>
    <row r="296" spans="3:13">
      <c r="C296" s="502"/>
      <c r="D296" s="515"/>
      <c r="E296" s="503"/>
      <c r="F296" s="503">
        <v>1</v>
      </c>
      <c r="G296" s="526">
        <v>0.3</v>
      </c>
      <c r="H296" s="526">
        <v>0.75</v>
      </c>
      <c r="I296" s="526">
        <v>0.1</v>
      </c>
      <c r="J296" s="526">
        <f t="shared" ref="J296:J297" si="17">+PRODUCT(F296:I296)</f>
        <v>2.2499999999999999E-2</v>
      </c>
      <c r="K296" s="551"/>
      <c r="M296" s="379"/>
    </row>
    <row r="297" spans="3:13">
      <c r="C297" s="502"/>
      <c r="D297" s="515"/>
      <c r="E297" s="503"/>
      <c r="F297" s="503">
        <v>1</v>
      </c>
      <c r="G297" s="526">
        <v>0.5</v>
      </c>
      <c r="H297" s="526">
        <v>0.85</v>
      </c>
      <c r="I297" s="526">
        <v>0.1</v>
      </c>
      <c r="J297" s="526">
        <f t="shared" si="17"/>
        <v>4.2500000000000003E-2</v>
      </c>
      <c r="K297" s="551"/>
      <c r="M297" s="379"/>
    </row>
    <row r="298" spans="3:13">
      <c r="C298" s="502"/>
      <c r="D298" s="515"/>
      <c r="E298" s="503"/>
      <c r="F298" s="503"/>
      <c r="G298" s="526"/>
      <c r="H298" s="526"/>
      <c r="I298" s="526"/>
      <c r="J298" s="526"/>
      <c r="K298" s="551"/>
      <c r="M298" s="379"/>
    </row>
    <row r="299" spans="3:13" ht="29.25" customHeight="1">
      <c r="C299" s="502" t="str">
        <f>+Resúmen!C647</f>
        <v>01.02.09.08</v>
      </c>
      <c r="D299" s="515" t="str">
        <f>+Resúmen!D647</f>
        <v>CONCRETO F'C 210 KG/CM2 PARA ZAPATAS (CEMENTO P-V)</v>
      </c>
      <c r="E299" s="503" t="str">
        <f>+Resúmen!E647</f>
        <v>M3</v>
      </c>
      <c r="F299" s="503">
        <v>1</v>
      </c>
      <c r="G299" s="526"/>
      <c r="H299" s="526"/>
      <c r="I299" s="526"/>
      <c r="J299" s="526"/>
      <c r="K299" s="548">
        <f>+SUM(J300:J302)</f>
        <v>13.4</v>
      </c>
      <c r="M299" s="379"/>
    </row>
    <row r="300" spans="3:13">
      <c r="C300" s="502"/>
      <c r="D300" s="515"/>
      <c r="E300" s="503"/>
      <c r="F300" s="503">
        <v>1</v>
      </c>
      <c r="G300" s="526">
        <v>17</v>
      </c>
      <c r="H300" s="526">
        <v>0.75</v>
      </c>
      <c r="I300" s="526">
        <v>1</v>
      </c>
      <c r="J300" s="526">
        <f>+PRODUCT(F300:I300)</f>
        <v>12.75</v>
      </c>
      <c r="K300" s="551"/>
      <c r="M300" s="379"/>
    </row>
    <row r="301" spans="3:13">
      <c r="C301" s="502"/>
      <c r="D301" s="515"/>
      <c r="E301" s="503"/>
      <c r="F301" s="503">
        <v>1</v>
      </c>
      <c r="G301" s="526">
        <v>0.3</v>
      </c>
      <c r="H301" s="526">
        <v>0.75</v>
      </c>
      <c r="I301" s="526">
        <v>1</v>
      </c>
      <c r="J301" s="526">
        <f t="shared" ref="J301:J302" si="18">+PRODUCT(F301:I301)</f>
        <v>0.22499999999999998</v>
      </c>
      <c r="K301" s="551"/>
      <c r="M301" s="379"/>
    </row>
    <row r="302" spans="3:13">
      <c r="C302" s="502"/>
      <c r="D302" s="515"/>
      <c r="E302" s="503"/>
      <c r="F302" s="503">
        <v>1</v>
      </c>
      <c r="G302" s="526">
        <v>0.5</v>
      </c>
      <c r="H302" s="526">
        <v>0.85</v>
      </c>
      <c r="I302" s="526">
        <v>1</v>
      </c>
      <c r="J302" s="526">
        <f t="shared" si="18"/>
        <v>0.42499999999999999</v>
      </c>
      <c r="K302" s="551"/>
      <c r="M302" s="379"/>
    </row>
    <row r="303" spans="3:13">
      <c r="C303" s="502"/>
      <c r="D303" s="515"/>
      <c r="E303" s="503"/>
      <c r="F303" s="503"/>
      <c r="G303" s="526"/>
      <c r="H303" s="526"/>
      <c r="I303" s="526"/>
      <c r="J303" s="526"/>
      <c r="K303" s="551"/>
      <c r="M303" s="379"/>
    </row>
    <row r="304" spans="3:13" ht="29.25" customHeight="1">
      <c r="C304" s="502" t="str">
        <f>+Resúmen!C648</f>
        <v>01.02.09.09</v>
      </c>
      <c r="D304" s="515" t="str">
        <f>+Resúmen!D648</f>
        <v>ENCOFRADO PARA ZAPATAS (INCL. HABILITACIÓN DE MADERA)</v>
      </c>
      <c r="E304" s="503" t="str">
        <f>+Resúmen!E648</f>
        <v>M2</v>
      </c>
      <c r="F304" s="503"/>
      <c r="G304" s="526"/>
      <c r="H304" s="526"/>
      <c r="I304" s="526"/>
      <c r="J304" s="526"/>
      <c r="K304" s="548">
        <f>+SUM(J305:J307)</f>
        <v>35.6</v>
      </c>
      <c r="M304" s="379"/>
    </row>
    <row r="305" spans="3:13">
      <c r="C305" s="502"/>
      <c r="D305" s="515"/>
      <c r="E305" s="503"/>
      <c r="F305" s="503">
        <v>2</v>
      </c>
      <c r="G305" s="526">
        <v>17</v>
      </c>
      <c r="H305" s="526"/>
      <c r="I305" s="526">
        <v>1</v>
      </c>
      <c r="J305" s="526">
        <f>+PRODUCT(F305:I305)</f>
        <v>34</v>
      </c>
      <c r="K305" s="551"/>
      <c r="M305" s="379"/>
    </row>
    <row r="306" spans="3:13">
      <c r="C306" s="502"/>
      <c r="D306" s="515"/>
      <c r="E306" s="503"/>
      <c r="F306" s="503">
        <v>2</v>
      </c>
      <c r="G306" s="526">
        <v>0.3</v>
      </c>
      <c r="H306" s="526"/>
      <c r="I306" s="526">
        <v>1</v>
      </c>
      <c r="J306" s="526">
        <f t="shared" ref="J306:J307" si="19">+PRODUCT(F306:I306)</f>
        <v>0.6</v>
      </c>
      <c r="K306" s="551"/>
      <c r="M306" s="379"/>
    </row>
    <row r="307" spans="3:13">
      <c r="C307" s="502"/>
      <c r="D307" s="515"/>
      <c r="E307" s="503"/>
      <c r="F307" s="503">
        <v>2</v>
      </c>
      <c r="G307" s="526">
        <v>0.5</v>
      </c>
      <c r="H307" s="526"/>
      <c r="I307" s="526">
        <v>1</v>
      </c>
      <c r="J307" s="526">
        <f t="shared" si="19"/>
        <v>1</v>
      </c>
      <c r="K307" s="551"/>
      <c r="M307" s="379"/>
    </row>
    <row r="308" spans="3:13">
      <c r="C308" s="502"/>
      <c r="D308" s="515"/>
      <c r="E308" s="503"/>
      <c r="F308" s="503"/>
      <c r="G308" s="526"/>
      <c r="H308" s="526"/>
      <c r="I308" s="526"/>
      <c r="J308" s="526"/>
      <c r="K308" s="551"/>
      <c r="M308" s="379"/>
    </row>
    <row r="309" spans="3:13" ht="29.25" customHeight="1">
      <c r="C309" s="502" t="str">
        <f>+Resúmen!C649</f>
        <v>01.02.09.10</v>
      </c>
      <c r="D309" s="515" t="str">
        <f>+Resúmen!D649</f>
        <v>ACERO ESTRUC. TRABAJADO P/ZAPATA ARMADA (COSTO PROM. INCL. DESPERDICIOS)</v>
      </c>
      <c r="E309" s="503" t="str">
        <f>+Resúmen!E649</f>
        <v>KG</v>
      </c>
      <c r="F309" s="503"/>
      <c r="G309" s="526"/>
      <c r="H309" s="526"/>
      <c r="I309" s="553" t="s">
        <v>1137</v>
      </c>
      <c r="J309" s="526"/>
      <c r="K309" s="548">
        <f>+SUM(J310:J312)</f>
        <v>92.736000000000018</v>
      </c>
      <c r="M309" s="379"/>
    </row>
    <row r="310" spans="3:13">
      <c r="C310" s="502"/>
      <c r="D310" s="533" t="s">
        <v>1133</v>
      </c>
      <c r="E310" s="503"/>
      <c r="F310" s="503">
        <v>1</v>
      </c>
      <c r="G310" s="526">
        <v>18</v>
      </c>
      <c r="H310" s="526">
        <v>8</v>
      </c>
      <c r="I310" s="526">
        <v>0.56000000000000005</v>
      </c>
      <c r="J310" s="526">
        <f>+PRODUCT(F310:I310)</f>
        <v>80.640000000000015</v>
      </c>
      <c r="K310" s="551"/>
      <c r="M310" s="379"/>
    </row>
    <row r="311" spans="3:13">
      <c r="C311" s="502"/>
      <c r="D311" s="533" t="s">
        <v>1133</v>
      </c>
      <c r="E311" s="503"/>
      <c r="F311" s="503">
        <v>1</v>
      </c>
      <c r="G311" s="526">
        <v>1.35</v>
      </c>
      <c r="H311" s="526">
        <v>8</v>
      </c>
      <c r="I311" s="526">
        <v>0.56000000000000005</v>
      </c>
      <c r="J311" s="526">
        <f t="shared" ref="J311:J312" si="20">+PRODUCT(F311:I311)</f>
        <v>6.0480000000000009</v>
      </c>
      <c r="K311" s="551"/>
      <c r="M311" s="379"/>
    </row>
    <row r="312" spans="3:13">
      <c r="C312" s="502"/>
      <c r="D312" s="533" t="s">
        <v>1133</v>
      </c>
      <c r="E312" s="503"/>
      <c r="F312" s="503">
        <v>1</v>
      </c>
      <c r="G312" s="526">
        <v>1.35</v>
      </c>
      <c r="H312" s="526">
        <v>8</v>
      </c>
      <c r="I312" s="526">
        <v>0.56000000000000005</v>
      </c>
      <c r="J312" s="526">
        <f t="shared" si="20"/>
        <v>6.0480000000000009</v>
      </c>
      <c r="K312" s="551"/>
      <c r="M312" s="379"/>
    </row>
    <row r="313" spans="3:13">
      <c r="C313" s="502"/>
      <c r="D313" s="515"/>
      <c r="E313" s="503"/>
      <c r="F313" s="503"/>
      <c r="G313" s="526"/>
      <c r="H313" s="526"/>
      <c r="I313" s="526"/>
      <c r="J313" s="526"/>
      <c r="K313" s="551"/>
      <c r="M313" s="379"/>
    </row>
    <row r="314" spans="3:13" ht="29.25" customHeight="1">
      <c r="C314" s="502" t="str">
        <f>+Resúmen!C650</f>
        <v>01.02.09.11</v>
      </c>
      <c r="D314" s="515" t="str">
        <f>+Resúmen!D650</f>
        <v>CONCRETO F'C 210 KG/CM2 PARA MUROS REFORZADOS (CEMENTO P-V)</v>
      </c>
      <c r="E314" s="503" t="str">
        <f>+Resúmen!E650</f>
        <v>M3</v>
      </c>
      <c r="F314" s="503"/>
      <c r="G314" s="526"/>
      <c r="H314" s="526"/>
      <c r="I314" s="526"/>
      <c r="J314" s="526"/>
      <c r="K314" s="548">
        <f>+SUM(J315:J317)</f>
        <v>17.38</v>
      </c>
      <c r="M314" s="379"/>
    </row>
    <row r="315" spans="3:13">
      <c r="C315" s="502"/>
      <c r="D315" s="515"/>
      <c r="E315" s="503"/>
      <c r="F315" s="503">
        <v>1</v>
      </c>
      <c r="G315" s="526">
        <v>17</v>
      </c>
      <c r="H315" s="526">
        <v>0.25</v>
      </c>
      <c r="I315" s="526">
        <v>3.6</v>
      </c>
      <c r="J315" s="526">
        <f>+PRODUCT(F315:I315)</f>
        <v>15.3</v>
      </c>
      <c r="K315" s="551"/>
      <c r="M315" s="379"/>
    </row>
    <row r="316" spans="3:13">
      <c r="C316" s="502"/>
      <c r="D316" s="515"/>
      <c r="E316" s="503"/>
      <c r="F316" s="503">
        <v>1</v>
      </c>
      <c r="G316" s="526">
        <v>0.8</v>
      </c>
      <c r="H316" s="526">
        <v>0.25</v>
      </c>
      <c r="I316" s="526">
        <v>6.8</v>
      </c>
      <c r="J316" s="526">
        <f t="shared" ref="J316:J317" si="21">+PRODUCT(F316:I316)</f>
        <v>1.36</v>
      </c>
      <c r="K316" s="551"/>
      <c r="M316" s="379"/>
    </row>
    <row r="317" spans="3:13">
      <c r="C317" s="502"/>
      <c r="D317" s="515"/>
      <c r="E317" s="503"/>
      <c r="F317" s="503">
        <v>1</v>
      </c>
      <c r="G317" s="526">
        <v>0.8</v>
      </c>
      <c r="H317" s="526">
        <v>0.25</v>
      </c>
      <c r="I317" s="526">
        <v>3.6</v>
      </c>
      <c r="J317" s="526">
        <f t="shared" si="21"/>
        <v>0.72000000000000008</v>
      </c>
      <c r="K317" s="551"/>
      <c r="M317" s="379"/>
    </row>
    <row r="318" spans="3:13">
      <c r="C318" s="502"/>
      <c r="D318" s="515"/>
      <c r="E318" s="503"/>
      <c r="F318" s="503"/>
      <c r="G318" s="526"/>
      <c r="H318" s="526"/>
      <c r="I318" s="526"/>
      <c r="J318" s="526"/>
      <c r="K318" s="551"/>
      <c r="M318" s="379"/>
    </row>
    <row r="319" spans="3:13" ht="29.25" customHeight="1">
      <c r="C319" s="502" t="str">
        <f>+Resúmen!C651</f>
        <v>01.02.09.12</v>
      </c>
      <c r="D319" s="515" t="str">
        <f>+Resúmen!D651</f>
        <v>ENCOFRADO (INCL. HABILITACIÓN DE MADERA) PARA MUROS RECTOS</v>
      </c>
      <c r="E319" s="503" t="str">
        <f>+Resúmen!E651</f>
        <v>M2</v>
      </c>
      <c r="F319" s="503">
        <v>1</v>
      </c>
      <c r="G319" s="526"/>
      <c r="H319" s="526"/>
      <c r="I319" s="526"/>
      <c r="J319" s="526"/>
      <c r="K319" s="548">
        <f>+SUM(J320:J322)</f>
        <v>144.16</v>
      </c>
      <c r="M319" s="379"/>
    </row>
    <row r="320" spans="3:13">
      <c r="C320" s="502"/>
      <c r="D320" s="515"/>
      <c r="E320" s="503"/>
      <c r="F320" s="503">
        <v>1</v>
      </c>
      <c r="G320" s="526">
        <v>17</v>
      </c>
      <c r="H320" s="526">
        <v>7.2</v>
      </c>
      <c r="I320" s="526"/>
      <c r="J320" s="526">
        <f>+PRODUCT(F320:I320)</f>
        <v>122.4</v>
      </c>
      <c r="K320" s="551"/>
      <c r="M320" s="379"/>
    </row>
    <row r="321" spans="3:13">
      <c r="C321" s="502"/>
      <c r="D321" s="515"/>
      <c r="E321" s="503"/>
      <c r="F321" s="503">
        <v>1</v>
      </c>
      <c r="G321" s="526">
        <v>0.8</v>
      </c>
      <c r="H321" s="526">
        <v>13.6</v>
      </c>
      <c r="I321" s="526"/>
      <c r="J321" s="526">
        <f t="shared" ref="J321:J322" si="22">+PRODUCT(F321:I321)</f>
        <v>10.88</v>
      </c>
      <c r="K321" s="551"/>
      <c r="M321" s="379"/>
    </row>
    <row r="322" spans="3:13">
      <c r="C322" s="502"/>
      <c r="D322" s="515"/>
      <c r="E322" s="503"/>
      <c r="F322" s="503">
        <v>1</v>
      </c>
      <c r="G322" s="526">
        <v>0.8</v>
      </c>
      <c r="H322" s="526">
        <v>13.6</v>
      </c>
      <c r="I322" s="526"/>
      <c r="J322" s="526">
        <f t="shared" si="22"/>
        <v>10.88</v>
      </c>
      <c r="K322" s="551"/>
      <c r="M322" s="379"/>
    </row>
    <row r="323" spans="3:13">
      <c r="C323" s="502"/>
      <c r="D323" s="515"/>
      <c r="E323" s="503"/>
      <c r="F323" s="503"/>
      <c r="G323" s="526"/>
      <c r="H323" s="526"/>
      <c r="I323" s="526"/>
      <c r="J323" s="526"/>
      <c r="K323" s="551"/>
      <c r="M323" s="379"/>
    </row>
    <row r="324" spans="3:13" ht="29.25" customHeight="1">
      <c r="C324" s="502" t="str">
        <f>+Resúmen!C652</f>
        <v>01.02.09.13</v>
      </c>
      <c r="D324" s="515" t="str">
        <f>+Resúmen!D652</f>
        <v>ACERO ESTRUCTURAL TRABAJADO P/MURO RECTOS (COSTO PROM. I/DESPERDIC.)</v>
      </c>
      <c r="E324" s="503" t="str">
        <f>+Resúmen!E652</f>
        <v>KG</v>
      </c>
      <c r="F324" s="503">
        <v>1</v>
      </c>
      <c r="G324" s="526"/>
      <c r="H324" s="526"/>
      <c r="I324" s="553" t="s">
        <v>1137</v>
      </c>
      <c r="J324" s="526"/>
      <c r="K324" s="548">
        <f>+SUM(J325:J332)</f>
        <v>958.72000000000025</v>
      </c>
      <c r="M324" s="379"/>
    </row>
    <row r="325" spans="3:13">
      <c r="C325" s="502"/>
      <c r="D325" s="554" t="s">
        <v>1134</v>
      </c>
      <c r="E325" s="503"/>
      <c r="F325" s="503">
        <v>1</v>
      </c>
      <c r="G325" s="526">
        <v>18</v>
      </c>
      <c r="H325" s="526">
        <v>36</v>
      </c>
      <c r="I325" s="526">
        <v>0.56000000000000005</v>
      </c>
      <c r="J325" s="526">
        <f>+PRODUCT(F325:I325)</f>
        <v>362.88000000000005</v>
      </c>
      <c r="K325" s="551"/>
      <c r="M325" s="379"/>
    </row>
    <row r="326" spans="3:13">
      <c r="C326" s="502"/>
      <c r="D326" s="552" t="s">
        <v>1136</v>
      </c>
      <c r="E326" s="503"/>
      <c r="F326" s="503">
        <v>1</v>
      </c>
      <c r="G326" s="526">
        <v>1.3</v>
      </c>
      <c r="H326" s="526">
        <v>68</v>
      </c>
      <c r="I326" s="526">
        <v>0.56000000000000005</v>
      </c>
      <c r="J326" s="526">
        <f t="shared" ref="J326:J327" si="23">+PRODUCT(F326:I326)</f>
        <v>49.504000000000005</v>
      </c>
      <c r="K326" s="551"/>
      <c r="M326" s="379"/>
    </row>
    <row r="327" spans="3:13">
      <c r="C327" s="502"/>
      <c r="D327" s="552" t="s">
        <v>1130</v>
      </c>
      <c r="E327" s="503"/>
      <c r="F327" s="503">
        <v>1</v>
      </c>
      <c r="G327" s="526">
        <v>1.3</v>
      </c>
      <c r="H327" s="526">
        <v>36</v>
      </c>
      <c r="I327" s="526">
        <v>0.56000000000000005</v>
      </c>
      <c r="J327" s="526">
        <f t="shared" si="23"/>
        <v>26.208000000000006</v>
      </c>
      <c r="K327" s="551"/>
      <c r="M327" s="379"/>
    </row>
    <row r="328" spans="3:13">
      <c r="C328" s="502"/>
      <c r="D328" s="552" t="s">
        <v>1130</v>
      </c>
      <c r="E328" s="503"/>
      <c r="F328" s="503"/>
      <c r="G328" s="526"/>
      <c r="H328" s="526"/>
      <c r="I328" s="526"/>
      <c r="J328" s="526"/>
      <c r="K328" s="551"/>
      <c r="M328" s="379"/>
    </row>
    <row r="329" spans="3:13">
      <c r="C329" s="502"/>
      <c r="D329" s="554" t="s">
        <v>1135</v>
      </c>
      <c r="E329" s="503"/>
      <c r="F329" s="503">
        <v>1</v>
      </c>
      <c r="G329" s="526">
        <v>4.9000000000000004</v>
      </c>
      <c r="H329" s="526">
        <v>170</v>
      </c>
      <c r="I329" s="526">
        <v>0.56000000000000005</v>
      </c>
      <c r="J329" s="526">
        <f>+PRODUCT(F329:I329)</f>
        <v>466.48000000000013</v>
      </c>
      <c r="K329" s="551"/>
      <c r="M329" s="379"/>
    </row>
    <row r="330" spans="3:13">
      <c r="C330" s="502"/>
      <c r="D330" s="552" t="s">
        <v>1136</v>
      </c>
      <c r="E330" s="503"/>
      <c r="F330" s="503">
        <v>1</v>
      </c>
      <c r="G330" s="526">
        <v>8.3000000000000007</v>
      </c>
      <c r="H330" s="526">
        <v>8</v>
      </c>
      <c r="I330" s="526">
        <v>0.56000000000000005</v>
      </c>
      <c r="J330" s="526">
        <f t="shared" ref="J330:J331" si="24">+PRODUCT(F330:I330)</f>
        <v>37.184000000000005</v>
      </c>
      <c r="K330" s="551"/>
      <c r="M330" s="379"/>
    </row>
    <row r="331" spans="3:13">
      <c r="C331" s="502"/>
      <c r="D331" s="552" t="s">
        <v>1130</v>
      </c>
      <c r="E331" s="503"/>
      <c r="F331" s="503">
        <v>1</v>
      </c>
      <c r="G331" s="526">
        <v>4.9000000000000004</v>
      </c>
      <c r="H331" s="526">
        <v>6</v>
      </c>
      <c r="I331" s="526">
        <v>0.56000000000000005</v>
      </c>
      <c r="J331" s="526">
        <f t="shared" si="24"/>
        <v>16.464000000000002</v>
      </c>
      <c r="K331" s="551"/>
      <c r="M331" s="379"/>
    </row>
    <row r="332" spans="3:13">
      <c r="C332" s="502"/>
      <c r="D332" s="552" t="s">
        <v>1130</v>
      </c>
      <c r="E332" s="503"/>
      <c r="F332" s="503"/>
      <c r="G332" s="526"/>
      <c r="H332" s="526"/>
      <c r="I332" s="526"/>
      <c r="J332" s="526"/>
      <c r="K332" s="551"/>
      <c r="M332" s="379"/>
    </row>
    <row r="333" spans="3:13">
      <c r="C333" s="502"/>
      <c r="D333" s="552"/>
      <c r="E333" s="503"/>
      <c r="F333" s="503"/>
      <c r="G333" s="526"/>
      <c r="H333" s="526"/>
      <c r="I333" s="526"/>
      <c r="J333" s="526"/>
      <c r="K333" s="551"/>
      <c r="M333" s="379"/>
    </row>
    <row r="334" spans="3:13" ht="29.25" customHeight="1">
      <c r="C334" s="502" t="str">
        <f>+Resúmen!C653</f>
        <v>01.02.09.14</v>
      </c>
      <c r="D334" s="515" t="str">
        <f>+Resúmen!D653</f>
        <v>RELLENO COMPACTADO CON MATERIAL DE PRÉSTAMO SELECCIONADO (INCL. PROVISIÓN)</v>
      </c>
      <c r="E334" s="503" t="str">
        <f>+Resúmen!E653</f>
        <v>M3</v>
      </c>
      <c r="F334" s="503">
        <v>1</v>
      </c>
      <c r="G334" s="526">
        <v>94.86</v>
      </c>
      <c r="H334" s="526"/>
      <c r="I334" s="526"/>
      <c r="J334" s="526"/>
      <c r="K334" s="548">
        <f>+SUM(J335:J336)</f>
        <v>94.86</v>
      </c>
      <c r="M334" s="379"/>
    </row>
    <row r="335" spans="3:13">
      <c r="C335" s="502"/>
      <c r="D335" s="515"/>
      <c r="E335" s="503"/>
      <c r="F335" s="503">
        <v>1</v>
      </c>
      <c r="G335" s="555" t="s">
        <v>1138</v>
      </c>
      <c r="H335" s="555" t="s">
        <v>1139</v>
      </c>
      <c r="I335" s="555" t="s">
        <v>1140</v>
      </c>
      <c r="J335" s="526"/>
      <c r="K335" s="551"/>
      <c r="M335" s="379"/>
    </row>
    <row r="336" spans="3:13">
      <c r="C336" s="502"/>
      <c r="D336" s="515"/>
      <c r="E336" s="503"/>
      <c r="F336" s="503">
        <v>1</v>
      </c>
      <c r="G336" s="526">
        <v>1.1000000000000001</v>
      </c>
      <c r="H336" s="526">
        <v>2</v>
      </c>
      <c r="I336" s="526">
        <v>5.58</v>
      </c>
      <c r="J336" s="526">
        <f>+I336*17</f>
        <v>94.86</v>
      </c>
      <c r="K336" s="551"/>
      <c r="M336" s="379"/>
    </row>
    <row r="337" spans="3:13">
      <c r="C337" s="502"/>
      <c r="D337" s="515"/>
      <c r="E337" s="503"/>
      <c r="F337" s="503"/>
      <c r="G337" s="526"/>
      <c r="H337" s="526"/>
      <c r="I337" s="526"/>
      <c r="J337" s="526"/>
      <c r="K337" s="551"/>
      <c r="M337" s="379"/>
    </row>
    <row r="338" spans="3:13" ht="29.25" hidden="1" customHeight="1">
      <c r="C338" s="510" t="str">
        <f>+Resúmen!C658</f>
        <v>01</v>
      </c>
      <c r="D338" s="524" t="str">
        <f>+Resúmen!D658</f>
        <v>FRENTE 05 "CAMBIO DE LINEA DE IMPULSION DEL CR 138 (NEWTON) AL R-183"</v>
      </c>
      <c r="E338" s="511" t="s">
        <v>156</v>
      </c>
      <c r="F338" s="511">
        <v>0</v>
      </c>
      <c r="G338" s="530"/>
      <c r="H338" s="530"/>
      <c r="I338" s="530"/>
      <c r="J338" s="530"/>
      <c r="K338" s="548">
        <f t="shared" ref="K338:K368" si="25">+PRODUCT(F338:I338)</f>
        <v>0</v>
      </c>
      <c r="M338" s="379"/>
    </row>
    <row r="339" spans="3:13" ht="29.25" hidden="1" customHeight="1">
      <c r="C339" s="500" t="str">
        <f>+Resúmen!C665</f>
        <v>01.02</v>
      </c>
      <c r="D339" s="520" t="str">
        <f>+Resúmen!D665</f>
        <v>LINEA DE IMPULSIÓN - FRENTE 05</v>
      </c>
      <c r="E339" s="501" t="s">
        <v>156</v>
      </c>
      <c r="F339" s="501">
        <v>0</v>
      </c>
      <c r="G339" s="531"/>
      <c r="H339" s="531"/>
      <c r="I339" s="531"/>
      <c r="J339" s="531"/>
      <c r="K339" s="548">
        <f t="shared" si="25"/>
        <v>0</v>
      </c>
      <c r="M339" s="379"/>
    </row>
    <row r="340" spans="3:13" ht="29.25" hidden="1" customHeight="1">
      <c r="C340" s="504" t="str">
        <f>+Resúmen!C666</f>
        <v>01.02.01</v>
      </c>
      <c r="D340" s="521" t="str">
        <f>+Resúmen!D666</f>
        <v>TRABAJOS PRELIMINARES</v>
      </c>
      <c r="E340" s="505" t="s">
        <v>156</v>
      </c>
      <c r="F340" s="505">
        <v>0</v>
      </c>
      <c r="G340" s="527"/>
      <c r="H340" s="527"/>
      <c r="I340" s="527"/>
      <c r="J340" s="527"/>
      <c r="K340" s="548">
        <f t="shared" si="25"/>
        <v>0</v>
      </c>
      <c r="M340" s="379"/>
    </row>
    <row r="341" spans="3:13" ht="29.25" hidden="1" customHeight="1">
      <c r="C341" s="502" t="str">
        <f>+Resúmen!C677</f>
        <v>01.02.01.11</v>
      </c>
      <c r="D341" s="515" t="str">
        <f>+Resúmen!D677</f>
        <v>PROTECCION DE REDES EXISTENTES DE DN 100 A 150</v>
      </c>
      <c r="E341" s="503" t="str">
        <f>+Resúmen!E677</f>
        <v>UND</v>
      </c>
      <c r="F341" s="503">
        <v>1</v>
      </c>
      <c r="G341" s="526">
        <v>10</v>
      </c>
      <c r="H341" s="526"/>
      <c r="I341" s="526"/>
      <c r="J341" s="526"/>
      <c r="K341" s="548">
        <f t="shared" si="25"/>
        <v>10</v>
      </c>
      <c r="M341" s="379"/>
    </row>
    <row r="342" spans="3:13" ht="29.25" hidden="1" customHeight="1">
      <c r="C342" s="502" t="str">
        <f>+Resúmen!C678</f>
        <v>01.02.01.12</v>
      </c>
      <c r="D342" s="515" t="str">
        <f>+Resúmen!D678</f>
        <v>PROTECCION DE REDES EXISTENTES DE DN 200 A 250</v>
      </c>
      <c r="E342" s="503" t="str">
        <f>+Resúmen!E678</f>
        <v>UND</v>
      </c>
      <c r="F342" s="503">
        <v>1</v>
      </c>
      <c r="G342" s="526">
        <v>28</v>
      </c>
      <c r="H342" s="526"/>
      <c r="I342" s="526"/>
      <c r="J342" s="526"/>
      <c r="K342" s="548">
        <f t="shared" si="25"/>
        <v>28</v>
      </c>
      <c r="M342" s="379"/>
    </row>
    <row r="343" spans="3:13" ht="29.25" hidden="1" customHeight="1">
      <c r="C343" s="502" t="str">
        <f>+Resúmen!C679</f>
        <v>01.02.01.13</v>
      </c>
      <c r="D343" s="515" t="str">
        <f>+Resúmen!D679</f>
        <v>PROTECCION DE REDES EXISTENTES DE DN 300 A 350</v>
      </c>
      <c r="E343" s="503" t="str">
        <f>+Resúmen!E679</f>
        <v>UND</v>
      </c>
      <c r="F343" s="503">
        <v>1</v>
      </c>
      <c r="G343" s="526">
        <v>2</v>
      </c>
      <c r="H343" s="526"/>
      <c r="I343" s="526"/>
      <c r="J343" s="526"/>
      <c r="K343" s="548">
        <f t="shared" si="25"/>
        <v>2</v>
      </c>
      <c r="M343" s="379"/>
    </row>
    <row r="344" spans="3:13" ht="29.25" hidden="1" customHeight="1">
      <c r="C344" s="502" t="str">
        <f>+Resúmen!C680</f>
        <v>01.02.01.14</v>
      </c>
      <c r="D344" s="515" t="str">
        <f>+Resúmen!D680</f>
        <v>PROTECCION DE CONEXIONES DOMICILIARIAS DE AGUA POTABLE</v>
      </c>
      <c r="E344" s="503" t="str">
        <f>+Resúmen!E680</f>
        <v>UND</v>
      </c>
      <c r="F344" s="503">
        <v>1</v>
      </c>
      <c r="G344" s="526">
        <v>45</v>
      </c>
      <c r="H344" s="526"/>
      <c r="I344" s="526"/>
      <c r="J344" s="526"/>
      <c r="K344" s="548">
        <f t="shared" si="25"/>
        <v>45</v>
      </c>
      <c r="M344" s="379"/>
    </row>
    <row r="345" spans="3:13" ht="29.25" hidden="1" customHeight="1">
      <c r="C345" s="502" t="str">
        <f>+Resúmen!C681</f>
        <v>01.02.01.15</v>
      </c>
      <c r="D345" s="515" t="str">
        <f>+Resúmen!D681</f>
        <v>PROTECCION DE CONEXIONES DOMICILIARIAS DE DESAGÜE</v>
      </c>
      <c r="E345" s="503" t="str">
        <f>+Resúmen!E681</f>
        <v>UND</v>
      </c>
      <c r="F345" s="503">
        <v>1</v>
      </c>
      <c r="G345" s="526">
        <v>31</v>
      </c>
      <c r="H345" s="526"/>
      <c r="I345" s="526"/>
      <c r="J345" s="526"/>
      <c r="K345" s="548">
        <f t="shared" si="25"/>
        <v>31</v>
      </c>
      <c r="M345" s="379"/>
    </row>
    <row r="346" spans="3:13" ht="29.25" hidden="1" customHeight="1">
      <c r="C346" s="502" t="str">
        <f>+Resúmen!C682</f>
        <v>01.02.01.16</v>
      </c>
      <c r="D346" s="515" t="str">
        <f>+Resúmen!D682</f>
        <v>PROTECCION DE CABLES TELEFÓNICOS</v>
      </c>
      <c r="E346" s="503" t="str">
        <f>+Resúmen!E682</f>
        <v>UND</v>
      </c>
      <c r="F346" s="503">
        <v>1</v>
      </c>
      <c r="G346" s="526">
        <v>5</v>
      </c>
      <c r="H346" s="526"/>
      <c r="I346" s="526"/>
      <c r="J346" s="526"/>
      <c r="K346" s="548">
        <f t="shared" si="25"/>
        <v>5</v>
      </c>
      <c r="M346" s="379"/>
    </row>
    <row r="347" spans="3:13" ht="29.25" hidden="1" customHeight="1">
      <c r="C347" s="502" t="str">
        <f>+Resúmen!C683</f>
        <v>01.02.01.17</v>
      </c>
      <c r="D347" s="515" t="str">
        <f>+Resúmen!D683</f>
        <v>PROTECCION DE CABLE ELÉCTRICO DE BAJA TENSIÓN</v>
      </c>
      <c r="E347" s="503" t="str">
        <f>+Resúmen!E683</f>
        <v>UND</v>
      </c>
      <c r="F347" s="503">
        <v>1</v>
      </c>
      <c r="G347" s="526">
        <v>3</v>
      </c>
      <c r="H347" s="526"/>
      <c r="I347" s="526"/>
      <c r="J347" s="526"/>
      <c r="K347" s="548">
        <f t="shared" si="25"/>
        <v>3</v>
      </c>
      <c r="M347" s="379"/>
    </row>
    <row r="348" spans="3:13" ht="29.25" hidden="1" customHeight="1">
      <c r="C348" s="502" t="str">
        <f>+Resúmen!C684</f>
        <v>01.02.01.18</v>
      </c>
      <c r="D348" s="515" t="str">
        <f>+Resúmen!D684</f>
        <v>PROTECCION DE POSTES PARA ALUMBRADO - TELEFONO</v>
      </c>
      <c r="E348" s="503" t="str">
        <f>+Resúmen!E684</f>
        <v>UND</v>
      </c>
      <c r="F348" s="503">
        <v>1</v>
      </c>
      <c r="G348" s="526">
        <v>75</v>
      </c>
      <c r="H348" s="526"/>
      <c r="I348" s="526"/>
      <c r="J348" s="526"/>
      <c r="K348" s="548">
        <f t="shared" si="25"/>
        <v>75</v>
      </c>
      <c r="M348" s="379"/>
    </row>
    <row r="349" spans="3:13" ht="29.25" hidden="1" customHeight="1">
      <c r="C349" s="504" t="str">
        <f>+Resúmen!C755</f>
        <v>01.02.06</v>
      </c>
      <c r="D349" s="521" t="str">
        <f>+Resúmen!D755</f>
        <v>MEJORAMIENTO DE INSTALACIONES HIDRÁULICAS EN ESTRUCTURAS EXISTENTES</v>
      </c>
      <c r="E349" s="505" t="s">
        <v>156</v>
      </c>
      <c r="F349" s="505">
        <v>0</v>
      </c>
      <c r="G349" s="527"/>
      <c r="H349" s="527"/>
      <c r="I349" s="527"/>
      <c r="J349" s="527"/>
      <c r="K349" s="548">
        <f t="shared" si="25"/>
        <v>0</v>
      </c>
      <c r="M349" s="379"/>
    </row>
    <row r="350" spans="3:13" ht="29.25" hidden="1" customHeight="1">
      <c r="C350" s="506" t="str">
        <f>+Resúmen!C756</f>
        <v>01.02.06.01</v>
      </c>
      <c r="D350" s="522" t="str">
        <f>+Resúmen!D756</f>
        <v>INGERSO A CÁMARA CVA-05</v>
      </c>
      <c r="E350" s="507" t="s">
        <v>156</v>
      </c>
      <c r="F350" s="507">
        <v>0</v>
      </c>
      <c r="G350" s="528"/>
      <c r="H350" s="528"/>
      <c r="I350" s="528"/>
      <c r="J350" s="528"/>
      <c r="K350" s="548">
        <f t="shared" si="25"/>
        <v>0</v>
      </c>
      <c r="M350" s="379"/>
    </row>
    <row r="351" spans="3:13" ht="29.25" hidden="1" customHeight="1">
      <c r="C351" s="508" t="str">
        <f>+Resúmen!C757</f>
        <v>01.02.06.01.01</v>
      </c>
      <c r="D351" s="523" t="str">
        <f>+Resúmen!D757</f>
        <v>OBRAS CIVILES</v>
      </c>
      <c r="E351" s="509" t="s">
        <v>156</v>
      </c>
      <c r="F351" s="509">
        <v>0</v>
      </c>
      <c r="G351" s="529"/>
      <c r="H351" s="529"/>
      <c r="I351" s="529"/>
      <c r="J351" s="529"/>
      <c r="K351" s="548">
        <f t="shared" si="25"/>
        <v>0</v>
      </c>
      <c r="M351" s="379"/>
    </row>
    <row r="352" spans="3:13" ht="29.25" hidden="1" customHeight="1">
      <c r="C352" s="502" t="str">
        <f>+Resúmen!C758</f>
        <v>01.02.06.01.01.01</v>
      </c>
      <c r="D352" s="515" t="str">
        <f>+Resúmen!D758</f>
        <v>TRAZO Y REPLANTEO INICIAL DEL PROYECTO, PARA LÍNEAS-REDES CON ESTACIÓN TOTAL</v>
      </c>
      <c r="E352" s="503" t="str">
        <f>+Resúmen!E758</f>
        <v>KM</v>
      </c>
      <c r="F352" s="503">
        <v>1</v>
      </c>
      <c r="G352" s="526">
        <f>+G356/1000</f>
        <v>6.2699999999999995E-3</v>
      </c>
      <c r="H352" s="526"/>
      <c r="I352" s="526"/>
      <c r="J352" s="526"/>
      <c r="K352" s="548">
        <f t="shared" si="25"/>
        <v>6.2699999999999995E-3</v>
      </c>
      <c r="M352" s="379"/>
    </row>
    <row r="353" spans="3:13" ht="29.25" hidden="1" customHeight="1">
      <c r="C353" s="502" t="str">
        <f>+Resúmen!C759</f>
        <v>01.02.06.01.01.02</v>
      </c>
      <c r="D353" s="515" t="str">
        <f>+Resúmen!D759</f>
        <v>REPLANTEO FINAL DE LA OBRA, PARA LÍNEAS REDES CON ESTACIÓN TOTAL</v>
      </c>
      <c r="E353" s="503" t="str">
        <f>+Resúmen!E759</f>
        <v>KM</v>
      </c>
      <c r="F353" s="503">
        <v>1</v>
      </c>
      <c r="G353" s="526">
        <f>+G352</f>
        <v>6.2699999999999995E-3</v>
      </c>
      <c r="H353" s="526"/>
      <c r="I353" s="526"/>
      <c r="J353" s="526"/>
      <c r="K353" s="548">
        <f t="shared" si="25"/>
        <v>6.2699999999999995E-3</v>
      </c>
      <c r="M353" s="379"/>
    </row>
    <row r="354" spans="3:13" ht="29.25" hidden="1" customHeight="1">
      <c r="C354" s="502" t="str">
        <f>+Resúmen!C760</f>
        <v>01.02.06.01.01.03</v>
      </c>
      <c r="D354" s="515" t="str">
        <f>+Resúmen!D760</f>
        <v>CINTA PLÁSTICA SEÑALIZADORA PARA LÍMITE DE SEGURIDAD DE OBRA</v>
      </c>
      <c r="E354" s="503" t="str">
        <f>+Resúmen!E760</f>
        <v>M</v>
      </c>
      <c r="F354" s="503">
        <v>1</v>
      </c>
      <c r="G354" s="526">
        <f>+G356*2</f>
        <v>12.54</v>
      </c>
      <c r="H354" s="526"/>
      <c r="I354" s="526"/>
      <c r="J354" s="526"/>
      <c r="K354" s="548">
        <f t="shared" si="25"/>
        <v>12.54</v>
      </c>
      <c r="M354" s="379"/>
    </row>
    <row r="355" spans="3:13" ht="29.25" hidden="1" customHeight="1">
      <c r="C355" s="502" t="str">
        <f>+Resúmen!C761</f>
        <v>01.02.06.01.01.04</v>
      </c>
      <c r="D355" s="515" t="str">
        <f>+Resúmen!D761</f>
        <v>CERCO DE MALLA HDP DE 1 M ALTURA PARA LÍMITE DE SEGURIDAD DE OBRA</v>
      </c>
      <c r="E355" s="503" t="str">
        <f>+Resúmen!E761</f>
        <v>M</v>
      </c>
      <c r="F355" s="503">
        <v>1</v>
      </c>
      <c r="G355" s="526">
        <f>+G356*2</f>
        <v>12.54</v>
      </c>
      <c r="H355" s="526"/>
      <c r="I355" s="526"/>
      <c r="J355" s="526"/>
      <c r="K355" s="548">
        <f t="shared" si="25"/>
        <v>12.54</v>
      </c>
      <c r="M355" s="379"/>
    </row>
    <row r="356" spans="3:13" ht="29.25" hidden="1" customHeight="1">
      <c r="C356" s="502" t="str">
        <f>+Resúmen!C762</f>
        <v>01.02.06.01.01.05</v>
      </c>
      <c r="D356" s="515" t="str">
        <f>+Resúmen!D762</f>
        <v>RIEGO DE ZONA DE TRABAJO PARA MITIGAR LA CONTAMINACIÓN - POLVO (INCL. COSTO DE AGUA Y TRANSPORTE SURTIDOR A OBRA )</v>
      </c>
      <c r="E356" s="503" t="str">
        <f>+Resúmen!E762</f>
        <v>M</v>
      </c>
      <c r="F356" s="503">
        <v>1</v>
      </c>
      <c r="G356" s="526">
        <f>+G357</f>
        <v>6.27</v>
      </c>
      <c r="H356" s="526"/>
      <c r="I356" s="526"/>
      <c r="J356" s="526"/>
      <c r="K356" s="548">
        <f t="shared" si="25"/>
        <v>6.27</v>
      </c>
      <c r="M356" s="379"/>
    </row>
    <row r="357" spans="3:13" ht="29.25" hidden="1" customHeight="1">
      <c r="C357" s="502" t="str">
        <f>+Resúmen!C763</f>
        <v>01.02.06.01.01.06</v>
      </c>
      <c r="D357" s="515" t="str">
        <f>+Resúmen!D763</f>
        <v>EXCAV. ZANJA (PULSO) P/TUB. TERR-NORMAL DN 100 - 150 DE 1,26 M A 1,50 M PROF.</v>
      </c>
      <c r="E357" s="503" t="str">
        <f>+Resúmen!E763</f>
        <v>M</v>
      </c>
      <c r="F357" s="503">
        <v>1</v>
      </c>
      <c r="G357" s="526">
        <f>+G362</f>
        <v>6.27</v>
      </c>
      <c r="H357" s="526"/>
      <c r="I357" s="526"/>
      <c r="J357" s="526"/>
      <c r="K357" s="548">
        <f t="shared" si="25"/>
        <v>6.27</v>
      </c>
      <c r="M357" s="379"/>
    </row>
    <row r="358" spans="3:13" ht="29.25" hidden="1" customHeight="1">
      <c r="C358" s="502" t="str">
        <f>+Resúmen!C764</f>
        <v>01.02.06.01.01.07</v>
      </c>
      <c r="D358" s="515" t="str">
        <f>+Resúmen!D764</f>
        <v>REFINE Y NIVEL DE ZANJA TERR-NORMAL PARA TUB. DN 100 - 150 PARA TODA PROFUND.</v>
      </c>
      <c r="E358" s="503" t="str">
        <f>+Resúmen!E764</f>
        <v>M</v>
      </c>
      <c r="F358" s="503">
        <v>1</v>
      </c>
      <c r="G358" s="526">
        <f>+G357</f>
        <v>6.27</v>
      </c>
      <c r="H358" s="526"/>
      <c r="I358" s="526"/>
      <c r="J358" s="526"/>
      <c r="K358" s="548">
        <f t="shared" si="25"/>
        <v>6.27</v>
      </c>
      <c r="M358" s="379"/>
    </row>
    <row r="359" spans="3:13" ht="29.25" hidden="1" customHeight="1">
      <c r="C359" s="502" t="str">
        <f>+Resúmen!C765</f>
        <v>01.02.06.01.01.08</v>
      </c>
      <c r="D359" s="515" t="str">
        <f>+Resúmen!D765</f>
        <v>RELLENO COMP.ZANJA(PULSO) P/TUB T-NORMAL DN 100 - 150 DE 1,26 M A 1,50 M PROF.</v>
      </c>
      <c r="E359" s="503" t="str">
        <f>+Resúmen!E765</f>
        <v>M</v>
      </c>
      <c r="F359" s="503">
        <v>1</v>
      </c>
      <c r="G359" s="526">
        <f>+G358</f>
        <v>6.27</v>
      </c>
      <c r="H359" s="526"/>
      <c r="I359" s="526"/>
      <c r="J359" s="526"/>
      <c r="K359" s="548">
        <f t="shared" si="25"/>
        <v>6.27</v>
      </c>
      <c r="M359" s="379"/>
    </row>
    <row r="360" spans="3:13" ht="29.25" hidden="1" customHeight="1">
      <c r="C360" s="502" t="str">
        <f>+Resúmen!C766</f>
        <v>01.02.06.01.01.09</v>
      </c>
      <c r="D360" s="515" t="str">
        <f>+Resúmen!D766</f>
        <v>ELIMIN. DESMONTE(CARG+V) T-NORMAL D=20KM P/TUB. DN 100 - 150 PARA TODA PROF.</v>
      </c>
      <c r="E360" s="503" t="str">
        <f>+Resúmen!E766</f>
        <v>M</v>
      </c>
      <c r="F360" s="503">
        <v>1</v>
      </c>
      <c r="G360" s="526">
        <f>+G359</f>
        <v>6.27</v>
      </c>
      <c r="H360" s="526"/>
      <c r="I360" s="526"/>
      <c r="J360" s="526"/>
      <c r="K360" s="548">
        <f t="shared" si="25"/>
        <v>6.27</v>
      </c>
      <c r="M360" s="379"/>
    </row>
    <row r="361" spans="3:13" ht="29.25" hidden="1" customHeight="1">
      <c r="C361" s="508" t="str">
        <f>+Resúmen!C767</f>
        <v>01.02.06.01.02</v>
      </c>
      <c r="D361" s="523" t="str">
        <f>+Resúmen!D767</f>
        <v>INSTALACIONES HIDRÁULICAS</v>
      </c>
      <c r="E361" s="509" t="s">
        <v>156</v>
      </c>
      <c r="F361" s="509">
        <v>0</v>
      </c>
      <c r="G361" s="529"/>
      <c r="H361" s="529"/>
      <c r="I361" s="529"/>
      <c r="J361" s="529"/>
      <c r="K361" s="548">
        <f t="shared" si="25"/>
        <v>0</v>
      </c>
      <c r="M361" s="379"/>
    </row>
    <row r="362" spans="3:13" ht="29.25" hidden="1" customHeight="1">
      <c r="C362" s="502" t="str">
        <f>+Resúmen!C768</f>
        <v>01.02.06.01.02.01</v>
      </c>
      <c r="D362" s="515" t="str">
        <f>+Resúmen!D768</f>
        <v>TUBERÍA DE HIERRO DÚCTIL K-9 DN 150 INCLUYE ANILLO + 1% DE DESPERDICIO</v>
      </c>
      <c r="E362" s="503" t="str">
        <f>+Resúmen!E768</f>
        <v>M</v>
      </c>
      <c r="F362" s="503">
        <v>1</v>
      </c>
      <c r="G362" s="526">
        <v>6.27</v>
      </c>
      <c r="H362" s="526"/>
      <c r="I362" s="526"/>
      <c r="J362" s="526"/>
      <c r="K362" s="548">
        <f t="shared" si="25"/>
        <v>6.27</v>
      </c>
      <c r="M362" s="379"/>
    </row>
    <row r="363" spans="3:13" ht="29.25" hidden="1" customHeight="1">
      <c r="C363" s="502" t="str">
        <f>+Resúmen!C769</f>
        <v>01.02.06.01.02.02</v>
      </c>
      <c r="D363" s="515" t="str">
        <f>+Resúmen!D769</f>
        <v>INSTALACIÓN DE TUBERÍA DE HIERRO DÚCTIL DN 150 INCLUYE PRUEBA HIDRÁULICA</v>
      </c>
      <c r="E363" s="503" t="str">
        <f>+Resúmen!E769</f>
        <v>M</v>
      </c>
      <c r="F363" s="503">
        <v>1</v>
      </c>
      <c r="G363" s="526">
        <f>+G362</f>
        <v>6.27</v>
      </c>
      <c r="H363" s="526"/>
      <c r="I363" s="526"/>
      <c r="J363" s="526"/>
      <c r="K363" s="548">
        <f t="shared" si="25"/>
        <v>6.27</v>
      </c>
      <c r="M363" s="379"/>
    </row>
    <row r="364" spans="3:13" ht="29.25" hidden="1" customHeight="1">
      <c r="C364" s="502" t="str">
        <f>+Resúmen!C770</f>
        <v>01.02.06.01.02.03</v>
      </c>
      <c r="D364" s="515" t="str">
        <f>+Resúmen!D770</f>
        <v>SUMINISTRO E INSTALACIÓN DE MANGA HDPE E= 8 MILS (200 MICRONES) PARA PROTECCIÓN DE TUBERÍA HD DN 150</v>
      </c>
      <c r="E364" s="503" t="str">
        <f>+Resúmen!E770</f>
        <v>M</v>
      </c>
      <c r="F364" s="503">
        <v>1</v>
      </c>
      <c r="G364" s="526">
        <f>+G363</f>
        <v>6.27</v>
      </c>
      <c r="H364" s="526"/>
      <c r="I364" s="526"/>
      <c r="J364" s="526"/>
      <c r="K364" s="548">
        <f t="shared" si="25"/>
        <v>6.27</v>
      </c>
      <c r="M364" s="379"/>
    </row>
    <row r="365" spans="3:13" ht="29.25" hidden="1" customHeight="1">
      <c r="C365" s="502" t="str">
        <f>+Resúmen!C771</f>
        <v>01.02.06.01.02.04</v>
      </c>
      <c r="D365" s="515" t="str">
        <f>+Resúmen!D771</f>
        <v>PRUEBA HIDRÁULICA DE TUBERÍA AGUA POTAB. DN 150</v>
      </c>
      <c r="E365" s="503" t="str">
        <f>+Resúmen!E771</f>
        <v>M</v>
      </c>
      <c r="F365" s="503">
        <v>1</v>
      </c>
      <c r="G365" s="526">
        <f>+G364</f>
        <v>6.27</v>
      </c>
      <c r="H365" s="526"/>
      <c r="I365" s="526"/>
      <c r="J365" s="526"/>
      <c r="K365" s="548">
        <f t="shared" si="25"/>
        <v>6.27</v>
      </c>
      <c r="M365" s="379"/>
    </row>
    <row r="366" spans="3:13" ht="29.25" hidden="1" customHeight="1">
      <c r="C366" s="506" t="str">
        <f>+Resúmen!C772</f>
        <v>01.02.06.02</v>
      </c>
      <c r="D366" s="522" t="str">
        <f>+Resúmen!D772</f>
        <v>CISTERNA CR-138</v>
      </c>
      <c r="E366" s="507" t="s">
        <v>156</v>
      </c>
      <c r="F366" s="507">
        <v>0</v>
      </c>
      <c r="G366" s="528"/>
      <c r="H366" s="528"/>
      <c r="I366" s="528"/>
      <c r="J366" s="528"/>
      <c r="K366" s="548">
        <f t="shared" si="25"/>
        <v>0</v>
      </c>
      <c r="M366" s="379"/>
    </row>
    <row r="367" spans="3:13" ht="29.25" hidden="1" customHeight="1">
      <c r="C367" s="502" t="str">
        <f>+Resúmen!C773</f>
        <v>01.02.06.02.01</v>
      </c>
      <c r="D367" s="515" t="str">
        <f>+Resúmen!D773</f>
        <v>CORTE, RETIRO Y CIERRE DE TUBERÍA DE IMPULSIÓN EXISTENTE.</v>
      </c>
      <c r="E367" s="503" t="str">
        <f>+Resúmen!E773</f>
        <v>UND</v>
      </c>
      <c r="F367" s="503">
        <v>1</v>
      </c>
      <c r="G367" s="526">
        <v>1</v>
      </c>
      <c r="H367" s="526"/>
      <c r="I367" s="526"/>
      <c r="J367" s="526"/>
      <c r="K367" s="548">
        <f t="shared" si="25"/>
        <v>1</v>
      </c>
      <c r="M367" s="379"/>
    </row>
    <row r="368" spans="3:13" ht="29.25" hidden="1" customHeight="1">
      <c r="C368" s="502" t="str">
        <f>+Resúmen!C774</f>
        <v>01.02.06.02.02</v>
      </c>
      <c r="D368" s="515" t="str">
        <f>+Resúmen!D774</f>
        <v>TUBERÍA DE HIERRO DÚCTIL K-9 DN 300 INCLUYE ANILLO + 1% DE DESPERDICIO</v>
      </c>
      <c r="E368" s="503" t="str">
        <f>+Resúmen!E774</f>
        <v>M</v>
      </c>
      <c r="F368" s="503">
        <v>1</v>
      </c>
      <c r="G368" s="526">
        <v>1</v>
      </c>
      <c r="H368" s="526"/>
      <c r="I368" s="526"/>
      <c r="J368" s="526"/>
      <c r="K368" s="548">
        <f t="shared" si="25"/>
        <v>1</v>
      </c>
      <c r="M368" s="379"/>
    </row>
    <row r="369" spans="3:13" ht="29.25" hidden="1" customHeight="1">
      <c r="C369" s="502" t="str">
        <f>+Resúmen!C775</f>
        <v>01.02.06.02.03</v>
      </c>
      <c r="D369" s="515" t="str">
        <f>+Resúmen!D775</f>
        <v>INSTALACIÓN DE TUBERÍA DE HIERRO DÚCTIL DN 300 INCLUYE PRUEBA HIDRÁULICA</v>
      </c>
      <c r="E369" s="503" t="str">
        <f>+Resúmen!E775</f>
        <v>M</v>
      </c>
      <c r="F369" s="503">
        <v>1</v>
      </c>
      <c r="G369" s="526">
        <f>+G368</f>
        <v>1</v>
      </c>
      <c r="H369" s="526"/>
      <c r="I369" s="526"/>
      <c r="J369" s="526"/>
      <c r="K369" s="548">
        <f t="shared" ref="K369:K370" si="26">+PRODUCT(F369:I369)</f>
        <v>1</v>
      </c>
      <c r="M369" s="379"/>
    </row>
    <row r="370" spans="3:13" ht="29.25" hidden="1" customHeight="1">
      <c r="C370" s="502" t="str">
        <f>+Resúmen!C776</f>
        <v>01.02.06.02.04</v>
      </c>
      <c r="D370" s="515" t="str">
        <f>+Resúmen!D776</f>
        <v>SUMINISTRO E INSTALACIÓN DE MANGA HDPE E= 8 MILS (200 MICRONES) PARA PROTECCIÓN DE TUBERÍA HD DN 300</v>
      </c>
      <c r="E370" s="503" t="str">
        <f>+Resúmen!E776</f>
        <v>M</v>
      </c>
      <c r="F370" s="503">
        <v>1</v>
      </c>
      <c r="G370" s="526">
        <f>+G369</f>
        <v>1</v>
      </c>
      <c r="H370" s="526"/>
      <c r="I370" s="526"/>
      <c r="J370" s="526"/>
      <c r="K370" s="548">
        <f t="shared" si="26"/>
        <v>1</v>
      </c>
      <c r="M370" s="379"/>
    </row>
    <row r="371" spans="3:13" ht="29.25" hidden="1" customHeight="1">
      <c r="C371" s="502" t="str">
        <f>+Resúmen!C777</f>
        <v>01.02.06.02.05</v>
      </c>
      <c r="D371" s="515" t="str">
        <f>+Resúmen!D777</f>
        <v>EXCAV. ZANJA (PULSO) P/TUB. TERR-NORMAL DN 300 - 350 DE 1,01 M A 1,25 M PROF.</v>
      </c>
      <c r="E371" s="503" t="str">
        <f>+Resúmen!E777</f>
        <v>M</v>
      </c>
      <c r="F371" s="503">
        <v>1</v>
      </c>
      <c r="G371" s="526">
        <f>+G368</f>
        <v>1</v>
      </c>
      <c r="H371" s="526"/>
      <c r="I371" s="526"/>
      <c r="J371" s="526"/>
      <c r="K371" s="548">
        <f t="shared" ref="K371:K396" si="27">+PRODUCT(F371:I371)</f>
        <v>1</v>
      </c>
      <c r="M371" s="379"/>
    </row>
    <row r="372" spans="3:13" ht="29.25" hidden="1" customHeight="1">
      <c r="C372" s="502" t="str">
        <f>+Resúmen!C778</f>
        <v>01.02.06.02.06</v>
      </c>
      <c r="D372" s="515" t="str">
        <f>+Resúmen!D778</f>
        <v>REFINE Y NIVEL DE ZANJA TERR-NORMAL PARA TUB. DN 300 - 350 PARA TODA PROFUND.</v>
      </c>
      <c r="E372" s="503" t="str">
        <f>+Resúmen!E778</f>
        <v>M</v>
      </c>
      <c r="F372" s="503">
        <v>1</v>
      </c>
      <c r="G372" s="526">
        <f>+G371</f>
        <v>1</v>
      </c>
      <c r="H372" s="526"/>
      <c r="I372" s="526"/>
      <c r="J372" s="526"/>
      <c r="K372" s="548">
        <f t="shared" si="27"/>
        <v>1</v>
      </c>
      <c r="M372" s="379"/>
    </row>
    <row r="373" spans="3:13" ht="29.25" hidden="1" customHeight="1">
      <c r="C373" s="502" t="str">
        <f>+Resúmen!C779</f>
        <v>01.02.06.02.07</v>
      </c>
      <c r="D373" s="515" t="str">
        <f>+Resúmen!D779</f>
        <v>RELLENO COMP.ZANJA(PULSO) P/TUB T-NORMAL DN 300 - 350 DE 1.01 M A 1.25 M PROF.</v>
      </c>
      <c r="E373" s="503" t="str">
        <f>+Resúmen!E779</f>
        <v>M</v>
      </c>
      <c r="F373" s="503">
        <v>1</v>
      </c>
      <c r="G373" s="526">
        <f>+G372</f>
        <v>1</v>
      </c>
      <c r="H373" s="526"/>
      <c r="I373" s="526"/>
      <c r="J373" s="526"/>
      <c r="K373" s="548">
        <f t="shared" si="27"/>
        <v>1</v>
      </c>
      <c r="M373" s="379"/>
    </row>
    <row r="374" spans="3:13" ht="29.25" hidden="1" customHeight="1">
      <c r="C374" s="502" t="str">
        <f>+Resúmen!C780</f>
        <v>01.02.06.02.08</v>
      </c>
      <c r="D374" s="515" t="str">
        <f>+Resúmen!D780</f>
        <v>ELIMIN. DESMONTE(CARG+V)T.ROCOSO D=20KM P/TUBO DN 300-350 DE 1.01 A 1.25M</v>
      </c>
      <c r="E374" s="503" t="str">
        <f>+Resúmen!E780</f>
        <v>M</v>
      </c>
      <c r="F374" s="503">
        <v>1</v>
      </c>
      <c r="G374" s="526">
        <f>+G373</f>
        <v>1</v>
      </c>
      <c r="H374" s="526"/>
      <c r="I374" s="526"/>
      <c r="J374" s="526"/>
      <c r="K374" s="548">
        <f t="shared" si="27"/>
        <v>1</v>
      </c>
      <c r="M374" s="379"/>
    </row>
    <row r="375" spans="3:13" ht="29.25" hidden="1" customHeight="1">
      <c r="C375" s="502" t="str">
        <f>+Resúmen!C781</f>
        <v>01.02.06.02.09</v>
      </c>
      <c r="D375" s="515" t="str">
        <f>+Resúmen!D781</f>
        <v>CODO HIERRO DÚCTIL DE 45° (1/8) 2 ENCHUFES ESTANDAR DN 300</v>
      </c>
      <c r="E375" s="503" t="str">
        <f>+Resúmen!E781</f>
        <v>UND</v>
      </c>
      <c r="F375" s="503">
        <v>1</v>
      </c>
      <c r="G375" s="526">
        <v>2</v>
      </c>
      <c r="H375" s="526"/>
      <c r="I375" s="526"/>
      <c r="J375" s="526"/>
      <c r="K375" s="548">
        <f t="shared" si="27"/>
        <v>2</v>
      </c>
      <c r="M375" s="379"/>
    </row>
    <row r="376" spans="3:13" ht="29.25" hidden="1" customHeight="1">
      <c r="C376" s="502" t="str">
        <f>+Resúmen!C782</f>
        <v>01.02.06.02.10</v>
      </c>
      <c r="D376" s="515" t="str">
        <f>+Resúmen!D782</f>
        <v>INSTALACIÓN DE ACCESORIOS DE HO. DÚCTIL DN 300 - 350</v>
      </c>
      <c r="E376" s="503" t="str">
        <f>+Resúmen!E782</f>
        <v>UND</v>
      </c>
      <c r="F376" s="503">
        <v>1</v>
      </c>
      <c r="G376" s="526">
        <v>2</v>
      </c>
      <c r="H376" s="526"/>
      <c r="I376" s="526"/>
      <c r="J376" s="526"/>
      <c r="K376" s="548">
        <f t="shared" si="27"/>
        <v>2</v>
      </c>
      <c r="M376" s="379"/>
    </row>
    <row r="377" spans="3:13" ht="29.25" hidden="1" customHeight="1">
      <c r="C377" s="502" t="str">
        <f>+Resúmen!C783</f>
        <v>01.02.06.02.11</v>
      </c>
      <c r="D377" s="515" t="str">
        <f>+Resúmen!D783</f>
        <v>CONCRETO F'C 175 KG/CM2 PARA ANCLAJES DE ACCESORIOS DN 300 - 350 (CEMENTO V)</v>
      </c>
      <c r="E377" s="503" t="str">
        <f>+Resúmen!E783</f>
        <v>UND</v>
      </c>
      <c r="F377" s="503">
        <v>1</v>
      </c>
      <c r="G377" s="526">
        <v>2</v>
      </c>
      <c r="H377" s="526"/>
      <c r="I377" s="526"/>
      <c r="J377" s="526"/>
      <c r="K377" s="548">
        <f t="shared" si="27"/>
        <v>2</v>
      </c>
      <c r="M377" s="379"/>
    </row>
    <row r="378" spans="3:13" ht="29.25" hidden="1" customHeight="1">
      <c r="C378" s="502" t="str">
        <f>+Resúmen!C784</f>
        <v>01.02.06.02.12</v>
      </c>
      <c r="D378" s="515" t="str">
        <f>+Resúmen!D784</f>
        <v>PRUEBA HIDRÁULICA DE TUBERÍA AGUA POTAB. DN 300</v>
      </c>
      <c r="E378" s="503" t="str">
        <f>+Resúmen!E784</f>
        <v>M</v>
      </c>
      <c r="F378" s="503">
        <v>1</v>
      </c>
      <c r="G378" s="526">
        <v>1</v>
      </c>
      <c r="H378" s="526"/>
      <c r="I378" s="526"/>
      <c r="J378" s="526"/>
      <c r="K378" s="548">
        <f t="shared" si="27"/>
        <v>1</v>
      </c>
      <c r="M378" s="379"/>
    </row>
    <row r="379" spans="3:13" ht="29.25" hidden="1" customHeight="1">
      <c r="C379" s="506" t="str">
        <f>+Resúmen!C785</f>
        <v>01.02.06.03</v>
      </c>
      <c r="D379" s="522" t="str">
        <f>+Resúmen!D785</f>
        <v>DERIVACIÓN (1+546.58)</v>
      </c>
      <c r="E379" s="507" t="s">
        <v>156</v>
      </c>
      <c r="F379" s="507">
        <v>0</v>
      </c>
      <c r="G379" s="528"/>
      <c r="H379" s="528"/>
      <c r="I379" s="528"/>
      <c r="J379" s="528"/>
      <c r="K379" s="548">
        <f t="shared" si="27"/>
        <v>0</v>
      </c>
      <c r="M379" s="379"/>
    </row>
    <row r="380" spans="3:13" ht="29.25" hidden="1" customHeight="1">
      <c r="C380" s="508" t="str">
        <f>+Resúmen!C786</f>
        <v>01.02.06.03.01</v>
      </c>
      <c r="D380" s="523" t="str">
        <f>+Resúmen!D786</f>
        <v>OBRAS CIVILES</v>
      </c>
      <c r="E380" s="509" t="s">
        <v>156</v>
      </c>
      <c r="F380" s="509">
        <v>0</v>
      </c>
      <c r="G380" s="529"/>
      <c r="H380" s="529"/>
      <c r="I380" s="529"/>
      <c r="J380" s="529"/>
      <c r="K380" s="548">
        <f t="shared" si="27"/>
        <v>0</v>
      </c>
      <c r="M380" s="379"/>
    </row>
    <row r="381" spans="3:13" ht="29.25" hidden="1" customHeight="1">
      <c r="C381" s="502" t="str">
        <f>+Resúmen!C787</f>
        <v>01.02.06.03.01.01</v>
      </c>
      <c r="D381" s="515" t="str">
        <f>+Resúmen!D787</f>
        <v>TRAZO Y REPLANTEO INICIAL DEL PROYECTO, PARA LÍNEAS-REDES CON ESTACIÓN TOTAL</v>
      </c>
      <c r="E381" s="503" t="str">
        <f>+Resúmen!E787</f>
        <v>KM</v>
      </c>
      <c r="F381" s="503">
        <v>1</v>
      </c>
      <c r="G381" s="526">
        <f>+G385/1000</f>
        <v>2.1899999999999999E-2</v>
      </c>
      <c r="H381" s="526"/>
      <c r="I381" s="526"/>
      <c r="J381" s="526"/>
      <c r="K381" s="548">
        <f t="shared" si="27"/>
        <v>2.1899999999999999E-2</v>
      </c>
      <c r="M381" s="379"/>
    </row>
    <row r="382" spans="3:13" ht="29.25" hidden="1" customHeight="1">
      <c r="C382" s="502" t="str">
        <f>+Resúmen!C788</f>
        <v>01.02.06.03.01.02</v>
      </c>
      <c r="D382" s="515" t="str">
        <f>+Resúmen!D788</f>
        <v>REPLANTEO FINAL DE LA OBRA, PARA LÍNEAS REDES CON ESTACIÓN TOTAL</v>
      </c>
      <c r="E382" s="503" t="str">
        <f>+Resúmen!E788</f>
        <v>KM</v>
      </c>
      <c r="F382" s="503">
        <v>1</v>
      </c>
      <c r="G382" s="526">
        <f>+G381</f>
        <v>2.1899999999999999E-2</v>
      </c>
      <c r="H382" s="526"/>
      <c r="I382" s="526"/>
      <c r="J382" s="526"/>
      <c r="K382" s="548">
        <f t="shared" si="27"/>
        <v>2.1899999999999999E-2</v>
      </c>
      <c r="M382" s="379"/>
    </row>
    <row r="383" spans="3:13" ht="29.25" hidden="1" customHeight="1">
      <c r="C383" s="502" t="str">
        <f>+Resúmen!C789</f>
        <v>01.02.06.03.01.03</v>
      </c>
      <c r="D383" s="515" t="str">
        <f>+Resúmen!D789</f>
        <v>CINTA PLÁSTICA SEÑALIZADORA PARA LÍMITE DE SEGURIDAD DE OBRA</v>
      </c>
      <c r="E383" s="503" t="str">
        <f>+Resúmen!E789</f>
        <v>M</v>
      </c>
      <c r="F383" s="503">
        <v>1</v>
      </c>
      <c r="G383" s="526">
        <f>+G384</f>
        <v>43.8</v>
      </c>
      <c r="H383" s="526"/>
      <c r="I383" s="526"/>
      <c r="J383" s="526"/>
      <c r="K383" s="548">
        <f t="shared" si="27"/>
        <v>43.8</v>
      </c>
      <c r="M383" s="379"/>
    </row>
    <row r="384" spans="3:13" ht="29.25" hidden="1" customHeight="1">
      <c r="C384" s="502" t="str">
        <f>+Resúmen!C790</f>
        <v>01.02.06.03.01.04</v>
      </c>
      <c r="D384" s="515" t="str">
        <f>+Resúmen!D790</f>
        <v>CERCO DE MALLA HDP DE 1 M ALTURA PARA LÍMITE DE SEGURIDAD DE OBRA</v>
      </c>
      <c r="E384" s="503" t="str">
        <f>+Resúmen!E790</f>
        <v>M</v>
      </c>
      <c r="F384" s="503">
        <v>1</v>
      </c>
      <c r="G384" s="526">
        <f>+G385*2</f>
        <v>43.8</v>
      </c>
      <c r="H384" s="526"/>
      <c r="I384" s="526"/>
      <c r="J384" s="526"/>
      <c r="K384" s="548">
        <f t="shared" si="27"/>
        <v>43.8</v>
      </c>
      <c r="M384" s="379"/>
    </row>
    <row r="385" spans="3:13" ht="29.25" hidden="1" customHeight="1">
      <c r="C385" s="502" t="str">
        <f>+Resúmen!C791</f>
        <v>01.02.06.03.01.05</v>
      </c>
      <c r="D385" s="515" t="str">
        <f>+Resúmen!D791</f>
        <v>RIEGO DE ZONA DE TRABAJO PARA MITIGAR LA CONTAMINACIÓN - POLVO (INCL. COSTO DE AGUA Y TRANSPORTE SURTIDOR A OBRA )</v>
      </c>
      <c r="E385" s="503" t="str">
        <f>+Resúmen!E791</f>
        <v>M</v>
      </c>
      <c r="F385" s="503">
        <v>1</v>
      </c>
      <c r="G385" s="526">
        <f>+G386</f>
        <v>21.9</v>
      </c>
      <c r="H385" s="526"/>
      <c r="I385" s="526"/>
      <c r="J385" s="526"/>
      <c r="K385" s="548">
        <f t="shared" si="27"/>
        <v>21.9</v>
      </c>
      <c r="M385" s="379"/>
    </row>
    <row r="386" spans="3:13" ht="29.25" hidden="1" customHeight="1">
      <c r="C386" s="502" t="str">
        <f>+Resúmen!C792</f>
        <v>01.02.06.03.01.06</v>
      </c>
      <c r="D386" s="515" t="str">
        <f>+Resúmen!D792</f>
        <v>EXCAV. ZANJA (PULSO) P/TUB. TERR-NORMAL DN 100 - 150 DE 1,26 M A 1,50 M PROF.</v>
      </c>
      <c r="E386" s="503" t="str">
        <f>+Resúmen!E792</f>
        <v>M</v>
      </c>
      <c r="F386" s="503">
        <v>1</v>
      </c>
      <c r="G386" s="526">
        <f>+G392</f>
        <v>21.9</v>
      </c>
      <c r="H386" s="526"/>
      <c r="I386" s="526"/>
      <c r="J386" s="526"/>
      <c r="K386" s="548">
        <f t="shared" si="27"/>
        <v>21.9</v>
      </c>
      <c r="M386" s="379"/>
    </row>
    <row r="387" spans="3:13" ht="29.25" hidden="1" customHeight="1">
      <c r="C387" s="502" t="str">
        <f>+Resúmen!C793</f>
        <v>01.02.06.03.01.07</v>
      </c>
      <c r="D387" s="515" t="str">
        <f>+Resúmen!D793</f>
        <v>REFINE Y NIVEL DE ZANJA TERR-NORMAL PARA TUB. DN 100 - 150 PARA TODA PROFUND.</v>
      </c>
      <c r="E387" s="503" t="str">
        <f>+Resúmen!E793</f>
        <v>M</v>
      </c>
      <c r="F387" s="503">
        <v>1</v>
      </c>
      <c r="G387" s="526">
        <f>+G386</f>
        <v>21.9</v>
      </c>
      <c r="H387" s="526"/>
      <c r="I387" s="526"/>
      <c r="J387" s="526"/>
      <c r="K387" s="548">
        <f t="shared" si="27"/>
        <v>21.9</v>
      </c>
      <c r="M387" s="379"/>
    </row>
    <row r="388" spans="3:13" ht="29.25" hidden="1" customHeight="1">
      <c r="C388" s="502" t="str">
        <f>+Resúmen!C794</f>
        <v>01.02.06.03.01.08</v>
      </c>
      <c r="D388" s="515" t="str">
        <f>+Resúmen!D794</f>
        <v>RELLENO COMP.ZANJA(PULSO) P/TUB T-NORMAL DN 100 - 150 DE 1,26 M A 1,50 M PROF.</v>
      </c>
      <c r="E388" s="503" t="str">
        <f>+Resúmen!E794</f>
        <v>M</v>
      </c>
      <c r="F388" s="503">
        <v>1</v>
      </c>
      <c r="G388" s="526">
        <f>+G387</f>
        <v>21.9</v>
      </c>
      <c r="H388" s="526"/>
      <c r="I388" s="526"/>
      <c r="J388" s="526"/>
      <c r="K388" s="548">
        <f t="shared" si="27"/>
        <v>21.9</v>
      </c>
      <c r="M388" s="379"/>
    </row>
    <row r="389" spans="3:13" ht="29.25" hidden="1" customHeight="1">
      <c r="C389" s="502" t="str">
        <f>+Resúmen!C795</f>
        <v>01.02.06.03.01.09</v>
      </c>
      <c r="D389" s="515" t="str">
        <f>+Resúmen!D795</f>
        <v>ELIMIN. DESMONTE(CARG+V) T-NORMAL D=20KM P/TUB. DN 100 - 150 PARA TODA PROF.</v>
      </c>
      <c r="E389" s="503" t="str">
        <f>+Resúmen!E795</f>
        <v>M</v>
      </c>
      <c r="F389" s="503">
        <v>1</v>
      </c>
      <c r="G389" s="526">
        <f>+G388</f>
        <v>21.9</v>
      </c>
      <c r="H389" s="526"/>
      <c r="I389" s="526"/>
      <c r="J389" s="526"/>
      <c r="K389" s="548">
        <f t="shared" si="27"/>
        <v>21.9</v>
      </c>
      <c r="M389" s="379"/>
    </row>
    <row r="390" spans="3:13" ht="29.25" hidden="1" customHeight="1">
      <c r="C390" s="502" t="str">
        <f>+Resúmen!C796</f>
        <v>01.02.06.03.01.10</v>
      </c>
      <c r="D390" s="515" t="str">
        <f>+Resúmen!D796</f>
        <v>CORTE, RETIRO Y CIERRE DE TUBERÍA DE IMPULSIÓN EXISTENTE.</v>
      </c>
      <c r="E390" s="503" t="str">
        <f>+Resúmen!E796</f>
        <v>UND</v>
      </c>
      <c r="F390" s="503">
        <v>1</v>
      </c>
      <c r="G390" s="526">
        <v>1</v>
      </c>
      <c r="H390" s="526"/>
      <c r="I390" s="526"/>
      <c r="J390" s="526"/>
      <c r="K390" s="548">
        <f t="shared" si="27"/>
        <v>1</v>
      </c>
      <c r="M390" s="379"/>
    </row>
    <row r="391" spans="3:13" ht="29.25" hidden="1" customHeight="1">
      <c r="C391" s="508" t="str">
        <f>+Resúmen!C797</f>
        <v>01.02.06.03.02</v>
      </c>
      <c r="D391" s="523" t="str">
        <f>+Resúmen!D797</f>
        <v>INSTALACIONES HIDRÁULICAS</v>
      </c>
      <c r="E391" s="509" t="s">
        <v>156</v>
      </c>
      <c r="F391" s="509">
        <v>0</v>
      </c>
      <c r="G391" s="529"/>
      <c r="H391" s="529"/>
      <c r="I391" s="529"/>
      <c r="J391" s="529"/>
      <c r="K391" s="548">
        <f t="shared" si="27"/>
        <v>0</v>
      </c>
      <c r="M391" s="379"/>
    </row>
    <row r="392" spans="3:13" ht="29.25" hidden="1" customHeight="1">
      <c r="C392" s="502" t="str">
        <f>+Resúmen!C798</f>
        <v>01.02.06.03.02.01</v>
      </c>
      <c r="D392" s="515" t="str">
        <f>+Resúmen!D798</f>
        <v>TUBERÍA DE HIERRO DÚCTIL K-9 DN 150 INCLUYE ANILLO + 1% DE DESPERDICIO</v>
      </c>
      <c r="E392" s="503" t="str">
        <f>+Resúmen!E798</f>
        <v>M</v>
      </c>
      <c r="F392" s="503">
        <v>1</v>
      </c>
      <c r="G392" s="526">
        <v>21.9</v>
      </c>
      <c r="H392" s="526"/>
      <c r="I392" s="526"/>
      <c r="J392" s="526"/>
      <c r="K392" s="548">
        <f t="shared" si="27"/>
        <v>21.9</v>
      </c>
      <c r="M392" s="379"/>
    </row>
    <row r="393" spans="3:13" ht="29.25" hidden="1" customHeight="1">
      <c r="C393" s="502" t="str">
        <f>+Resúmen!C799</f>
        <v>01.02.06.03.02.02</v>
      </c>
      <c r="D393" s="515" t="str">
        <f>+Resúmen!D799</f>
        <v>INSTALACIÓN DE TUBERÍA DE HIERRO DÚCTIL DN 150 INCLUYE PRUEBA HIDRÁULICA</v>
      </c>
      <c r="E393" s="503" t="str">
        <f>+Resúmen!E799</f>
        <v>M</v>
      </c>
      <c r="F393" s="503">
        <v>1</v>
      </c>
      <c r="G393" s="526">
        <f>+G392</f>
        <v>21.9</v>
      </c>
      <c r="H393" s="526"/>
      <c r="I393" s="526"/>
      <c r="J393" s="526"/>
      <c r="K393" s="548">
        <f t="shared" si="27"/>
        <v>21.9</v>
      </c>
      <c r="M393" s="379"/>
    </row>
    <row r="394" spans="3:13" ht="29.25" hidden="1" customHeight="1">
      <c r="C394" s="502" t="str">
        <f>+Resúmen!C800</f>
        <v>01.02.06.03.02.03</v>
      </c>
      <c r="D394" s="515" t="str">
        <f>+Resúmen!D800</f>
        <v>SUMINISTRO E INSTALACIÓN DE MANGA HDPE E= 8 MILS (200 MICRONES) PARA PROTECCIÓN DE TUBERÍA HD DN 150</v>
      </c>
      <c r="E394" s="503" t="str">
        <f>+Resúmen!E800</f>
        <v>M</v>
      </c>
      <c r="F394" s="503">
        <v>1</v>
      </c>
      <c r="G394" s="526">
        <f>+G393</f>
        <v>21.9</v>
      </c>
      <c r="H394" s="526"/>
      <c r="I394" s="526"/>
      <c r="J394" s="526"/>
      <c r="K394" s="548">
        <f t="shared" si="27"/>
        <v>21.9</v>
      </c>
      <c r="M394" s="379"/>
    </row>
    <row r="395" spans="3:13" ht="29.25" hidden="1" customHeight="1">
      <c r="C395" s="502" t="str">
        <f>+Resúmen!C801</f>
        <v>01.02.06.03.02.04</v>
      </c>
      <c r="D395" s="515" t="str">
        <f>+Resúmen!D801</f>
        <v>PRUEBA HIDRÁULICA DE TUBERÍA AGUA POTAB. DN 150</v>
      </c>
      <c r="E395" s="503" t="str">
        <f>+Resúmen!E801</f>
        <v>M</v>
      </c>
      <c r="F395" s="503">
        <v>1</v>
      </c>
      <c r="G395" s="526">
        <f>+G394</f>
        <v>21.9</v>
      </c>
      <c r="H395" s="526"/>
      <c r="I395" s="526"/>
      <c r="J395" s="526"/>
      <c r="K395" s="548">
        <f t="shared" si="27"/>
        <v>21.9</v>
      </c>
      <c r="M395" s="379"/>
    </row>
    <row r="396" spans="3:13" ht="29.25" hidden="1" customHeight="1">
      <c r="C396" s="502" t="str">
        <f>+Resúmen!C802</f>
        <v>01.02.06.03.02.05</v>
      </c>
      <c r="D396" s="515" t="str">
        <f>+Resúmen!D802</f>
        <v>CODO HIERRO DÚCTIL DE 45° (1/8) 2 ENCHUFES ESTANDAR DN 100</v>
      </c>
      <c r="E396" s="503" t="str">
        <f>+Resúmen!E802</f>
        <v>UND</v>
      </c>
      <c r="F396" s="503">
        <v>1</v>
      </c>
      <c r="G396" s="526">
        <v>2</v>
      </c>
      <c r="H396" s="526"/>
      <c r="I396" s="526"/>
      <c r="J396" s="526"/>
      <c r="K396" s="548">
        <f t="shared" si="27"/>
        <v>2</v>
      </c>
      <c r="M396" s="379"/>
    </row>
    <row r="397" spans="3:13" ht="29.25" hidden="1" customHeight="1">
      <c r="C397" s="502" t="str">
        <f>+Resúmen!C803</f>
        <v>01.02.06.03.02.06</v>
      </c>
      <c r="D397" s="515" t="str">
        <f>+Resúmen!D803</f>
        <v>BRIDA-ENCHUFE ESTANDAR DE HIERRO DÚCTIL PN 16 DN 150</v>
      </c>
      <c r="E397" s="503" t="str">
        <f>+Resúmen!E803</f>
        <v>UND</v>
      </c>
      <c r="F397" s="503">
        <v>1</v>
      </c>
      <c r="G397" s="526">
        <v>1</v>
      </c>
      <c r="H397" s="526"/>
      <c r="I397" s="526"/>
      <c r="J397" s="526"/>
      <c r="K397" s="548">
        <f t="shared" ref="K397:K398" si="28">+PRODUCT(F397:I397)</f>
        <v>1</v>
      </c>
      <c r="M397" s="379"/>
    </row>
    <row r="398" spans="3:13" ht="29.25" hidden="1" customHeight="1">
      <c r="C398" s="502" t="str">
        <f>+Resúmen!C804</f>
        <v>01.02.06.03.02.07</v>
      </c>
      <c r="D398" s="515" t="str">
        <f>+Resúmen!D804</f>
        <v>REDUCCIÓN HO. DÚCTIL 2 ENCHUFES ESTANDAR DN 150 A 100</v>
      </c>
      <c r="E398" s="503" t="str">
        <f>+Resúmen!E804</f>
        <v>UND</v>
      </c>
      <c r="F398" s="503">
        <v>1</v>
      </c>
      <c r="G398" s="526">
        <v>1</v>
      </c>
      <c r="H398" s="526"/>
      <c r="I398" s="526"/>
      <c r="J398" s="526"/>
      <c r="K398" s="548">
        <f t="shared" si="28"/>
        <v>1</v>
      </c>
      <c r="M398" s="379"/>
    </row>
    <row r="399" spans="3:13" ht="29.25" hidden="1" customHeight="1">
      <c r="C399" s="502" t="str">
        <f>+Resúmen!C805</f>
        <v>01.02.06.03.02.08</v>
      </c>
      <c r="D399" s="515" t="str">
        <f>+Resúmen!D805</f>
        <v>INSTALACIÓN DE ACCESORIOS DE HO. DÚCTIL DN 100 - 150</v>
      </c>
      <c r="E399" s="503" t="str">
        <f>+Resúmen!E805</f>
        <v>UND</v>
      </c>
      <c r="F399" s="503">
        <v>1</v>
      </c>
      <c r="G399" s="526">
        <v>4</v>
      </c>
      <c r="H399" s="526"/>
      <c r="I399" s="526"/>
      <c r="J399" s="526"/>
      <c r="K399" s="548">
        <f t="shared" ref="K399:K430" si="29">+PRODUCT(F399:I399)</f>
        <v>4</v>
      </c>
      <c r="M399" s="379"/>
    </row>
    <row r="400" spans="3:13" ht="29.25" hidden="1" customHeight="1">
      <c r="C400" s="502" t="str">
        <f>+Resúmen!C806</f>
        <v>01.02.06.03.02.09</v>
      </c>
      <c r="D400" s="515" t="str">
        <f>+Resúmen!D806</f>
        <v>CONCRETO F'C 175 KG/CM2 PARA ANCLAJES DE ACCESORIOS DN 100 - 150 (CEMENTO V)</v>
      </c>
      <c r="E400" s="503" t="str">
        <f>+Resúmen!E806</f>
        <v>UND</v>
      </c>
      <c r="F400" s="503">
        <v>1</v>
      </c>
      <c r="G400" s="526">
        <f>+G399</f>
        <v>4</v>
      </c>
      <c r="H400" s="526"/>
      <c r="I400" s="526"/>
      <c r="J400" s="526"/>
      <c r="K400" s="548">
        <f t="shared" si="29"/>
        <v>4</v>
      </c>
      <c r="M400" s="379"/>
    </row>
    <row r="401" spans="3:13" ht="29.25" hidden="1" customHeight="1">
      <c r="C401" s="502" t="str">
        <f>+Resúmen!C807</f>
        <v>01.02.06.03.02.10</v>
      </c>
      <c r="D401" s="515" t="str">
        <f>+Resúmen!D807</f>
        <v>VÁLVULA CPTA.BB, HO.DÚCTIL CIERRE ELÁST. VÁSTAGO ACERO INOXIDABLE DN 100</v>
      </c>
      <c r="E401" s="503" t="str">
        <f>+Resúmen!E807</f>
        <v>UND</v>
      </c>
      <c r="F401" s="503">
        <v>1</v>
      </c>
      <c r="G401" s="526">
        <v>1</v>
      </c>
      <c r="H401" s="526"/>
      <c r="I401" s="526"/>
      <c r="J401" s="526"/>
      <c r="K401" s="548">
        <f t="shared" si="29"/>
        <v>1</v>
      </c>
      <c r="M401" s="379"/>
    </row>
    <row r="402" spans="3:13" ht="29.25" hidden="1" customHeight="1">
      <c r="C402" s="502" t="str">
        <f>+Resúmen!C808</f>
        <v>01.02.06.03.02.11</v>
      </c>
      <c r="D402" s="515" t="str">
        <f>+Resúmen!D808</f>
        <v>INSTALACIÓN DE VÁLVULA COMPUERTA DN 100 A 150 MM INCL. REGISTRO</v>
      </c>
      <c r="E402" s="503" t="str">
        <f>+Resúmen!E808</f>
        <v>UND</v>
      </c>
      <c r="F402" s="503">
        <v>1</v>
      </c>
      <c r="G402" s="526">
        <v>1</v>
      </c>
      <c r="H402" s="526"/>
      <c r="I402" s="526"/>
      <c r="J402" s="526"/>
      <c r="K402" s="548">
        <f t="shared" si="29"/>
        <v>1</v>
      </c>
      <c r="M402" s="379"/>
    </row>
    <row r="403" spans="3:13" ht="29.25" hidden="1" customHeight="1">
      <c r="C403" s="506" t="str">
        <f>+Resúmen!C809</f>
        <v>01.02.06.04</v>
      </c>
      <c r="D403" s="522" t="str">
        <f>+Resúmen!D809</f>
        <v>DERIVACIÓN (1+676.02)</v>
      </c>
      <c r="E403" s="507" t="s">
        <v>156</v>
      </c>
      <c r="F403" s="507">
        <v>0</v>
      </c>
      <c r="G403" s="528"/>
      <c r="H403" s="528"/>
      <c r="I403" s="528"/>
      <c r="J403" s="528"/>
      <c r="K403" s="548">
        <f t="shared" si="29"/>
        <v>0</v>
      </c>
      <c r="M403" s="379"/>
    </row>
    <row r="404" spans="3:13" ht="29.25" hidden="1" customHeight="1">
      <c r="C404" s="508" t="str">
        <f>+Resúmen!C810</f>
        <v>01.02.06.04.01</v>
      </c>
      <c r="D404" s="523" t="str">
        <f>+Resúmen!D810</f>
        <v>OBRAS CIVILES</v>
      </c>
      <c r="E404" s="509" t="s">
        <v>156</v>
      </c>
      <c r="F404" s="509">
        <v>0</v>
      </c>
      <c r="G404" s="529"/>
      <c r="H404" s="529"/>
      <c r="I404" s="529"/>
      <c r="J404" s="529"/>
      <c r="K404" s="548">
        <f t="shared" si="29"/>
        <v>0</v>
      </c>
      <c r="M404" s="379"/>
    </row>
    <row r="405" spans="3:13" ht="29.25" hidden="1" customHeight="1">
      <c r="C405" s="502" t="str">
        <f>+Resúmen!C811</f>
        <v>01.02.06.04.01.01</v>
      </c>
      <c r="D405" s="515" t="str">
        <f>+Resúmen!D811</f>
        <v>TRAZO Y REPLANTEO INICIAL DEL PROYECTO, PARA LÍNEAS-REDES CON ESTACIÓN TOTAL</v>
      </c>
      <c r="E405" s="503" t="str">
        <f>+Resúmen!E811</f>
        <v>KM</v>
      </c>
      <c r="F405" s="503">
        <v>1</v>
      </c>
      <c r="G405" s="526">
        <f>+G406</f>
        <v>3.7899999999999996E-2</v>
      </c>
      <c r="H405" s="526"/>
      <c r="I405" s="526"/>
      <c r="J405" s="526"/>
      <c r="K405" s="548">
        <f t="shared" si="29"/>
        <v>3.7899999999999996E-2</v>
      </c>
      <c r="M405" s="379"/>
    </row>
    <row r="406" spans="3:13" ht="29.25" hidden="1" customHeight="1">
      <c r="C406" s="502" t="str">
        <f>+Resúmen!C812</f>
        <v>01.02.06.04.01.02</v>
      </c>
      <c r="D406" s="515" t="str">
        <f>+Resúmen!D812</f>
        <v>REPLANTEO FINAL DE LA OBRA, PARA LÍNEAS REDES CON ESTACIÓN TOTAL</v>
      </c>
      <c r="E406" s="503" t="str">
        <f>+Resúmen!E812</f>
        <v>KM</v>
      </c>
      <c r="F406" s="503">
        <v>1</v>
      </c>
      <c r="G406" s="526">
        <f>+G409/1000</f>
        <v>3.7899999999999996E-2</v>
      </c>
      <c r="H406" s="526"/>
      <c r="I406" s="526"/>
      <c r="J406" s="526"/>
      <c r="K406" s="548">
        <f t="shared" si="29"/>
        <v>3.7899999999999996E-2</v>
      </c>
      <c r="M406" s="379"/>
    </row>
    <row r="407" spans="3:13" ht="29.25" hidden="1" customHeight="1">
      <c r="C407" s="502" t="str">
        <f>+Resúmen!C813</f>
        <v>01.02.06.04.01.03</v>
      </c>
      <c r="D407" s="515" t="str">
        <f>+Resúmen!D813</f>
        <v>CINTA PLÁSTICA SEÑALIZADORA PARA LÍMITE DE SEGURIDAD DE OBRA</v>
      </c>
      <c r="E407" s="503" t="str">
        <f>+Resúmen!E813</f>
        <v>M</v>
      </c>
      <c r="F407" s="503">
        <v>1</v>
      </c>
      <c r="G407" s="526">
        <f>+G408</f>
        <v>75.8</v>
      </c>
      <c r="H407" s="526"/>
      <c r="I407" s="526"/>
      <c r="J407" s="526"/>
      <c r="K407" s="548">
        <f t="shared" si="29"/>
        <v>75.8</v>
      </c>
      <c r="M407" s="379"/>
    </row>
    <row r="408" spans="3:13" ht="29.25" hidden="1" customHeight="1">
      <c r="C408" s="502" t="str">
        <f>+Resúmen!C814</f>
        <v>01.02.06.04.01.04</v>
      </c>
      <c r="D408" s="515" t="str">
        <f>+Resúmen!D814</f>
        <v>CERCO DE MALLA HDP DE 1 M ALTURA PARA LÍMITE DE SEGURIDAD DE OBRA</v>
      </c>
      <c r="E408" s="503" t="str">
        <f>+Resúmen!E814</f>
        <v>M</v>
      </c>
      <c r="F408" s="503">
        <v>1</v>
      </c>
      <c r="G408" s="526">
        <f>+G409*2</f>
        <v>75.8</v>
      </c>
      <c r="H408" s="526"/>
      <c r="I408" s="526"/>
      <c r="J408" s="526"/>
      <c r="K408" s="548">
        <f t="shared" si="29"/>
        <v>75.8</v>
      </c>
      <c r="M408" s="379"/>
    </row>
    <row r="409" spans="3:13" ht="29.25" hidden="1" customHeight="1">
      <c r="C409" s="502" t="str">
        <f>+Resúmen!C815</f>
        <v>01.02.06.04.01.05</v>
      </c>
      <c r="D409" s="515" t="str">
        <f>+Resúmen!D815</f>
        <v>RIEGO DE ZONA DE TRABAJO PARA MITIGAR LA CONTAMINACIÓN - POLVO (INCL. COSTO DE AGUA Y TRANSPORTE SURTIDOR A OBRA )</v>
      </c>
      <c r="E409" s="503" t="str">
        <f>+Resúmen!E815</f>
        <v>M</v>
      </c>
      <c r="F409" s="503">
        <v>1</v>
      </c>
      <c r="G409" s="526">
        <f>+G410</f>
        <v>37.9</v>
      </c>
      <c r="H409" s="526"/>
      <c r="I409" s="526"/>
      <c r="J409" s="526"/>
      <c r="K409" s="548">
        <f t="shared" si="29"/>
        <v>37.9</v>
      </c>
      <c r="M409" s="379"/>
    </row>
    <row r="410" spans="3:13" ht="29.25" hidden="1" customHeight="1">
      <c r="C410" s="502" t="str">
        <f>+Resúmen!C816</f>
        <v>01.02.06.04.01.06</v>
      </c>
      <c r="D410" s="515" t="str">
        <f>+Resúmen!D816</f>
        <v>EXCAV. ZANJA (PULSO) P/TUB. TERR-NORMAL DN 200 - 250 DE 1,26 M A 1,50 M PROF.</v>
      </c>
      <c r="E410" s="503" t="str">
        <f>+Resúmen!E816</f>
        <v>M</v>
      </c>
      <c r="F410" s="503">
        <v>1</v>
      </c>
      <c r="G410" s="526">
        <f>+G415</f>
        <v>37.9</v>
      </c>
      <c r="H410" s="526"/>
      <c r="I410" s="526"/>
      <c r="J410" s="526"/>
      <c r="K410" s="548">
        <f t="shared" si="29"/>
        <v>37.9</v>
      </c>
      <c r="M410" s="379"/>
    </row>
    <row r="411" spans="3:13" ht="29.25" hidden="1" customHeight="1">
      <c r="C411" s="502" t="str">
        <f>+Resúmen!C817</f>
        <v>01.02.06.04.01.07</v>
      </c>
      <c r="D411" s="515" t="str">
        <f>+Resúmen!D817</f>
        <v>REFINE Y NIVEL DE ZANJA TERR-NORMAL PARA TUB. DN 200 - 250 PARA TODA PROFUND.</v>
      </c>
      <c r="E411" s="503" t="str">
        <f>+Resúmen!E817</f>
        <v>M</v>
      </c>
      <c r="F411" s="503">
        <v>1</v>
      </c>
      <c r="G411" s="526">
        <f>+G410</f>
        <v>37.9</v>
      </c>
      <c r="H411" s="526"/>
      <c r="I411" s="526"/>
      <c r="J411" s="526"/>
      <c r="K411" s="548">
        <f t="shared" si="29"/>
        <v>37.9</v>
      </c>
      <c r="M411" s="379"/>
    </row>
    <row r="412" spans="3:13" ht="29.25" hidden="1" customHeight="1">
      <c r="C412" s="502" t="str">
        <f>+Resúmen!C818</f>
        <v>01.02.06.04.01.08</v>
      </c>
      <c r="D412" s="515" t="str">
        <f>+Resúmen!D818</f>
        <v>RELLENO COMP.ZANJA(PULSO) P/TUB T-NORMAL DN 200 - 250 DE 1,26 M A 1,50 M PROF.</v>
      </c>
      <c r="E412" s="503" t="str">
        <f>+Resúmen!E818</f>
        <v>M</v>
      </c>
      <c r="F412" s="503">
        <v>1</v>
      </c>
      <c r="G412" s="526">
        <f>+G411</f>
        <v>37.9</v>
      </c>
      <c r="H412" s="526"/>
      <c r="I412" s="526"/>
      <c r="J412" s="526"/>
      <c r="K412" s="548">
        <f t="shared" si="29"/>
        <v>37.9</v>
      </c>
      <c r="M412" s="379"/>
    </row>
    <row r="413" spans="3:13" ht="29.25" hidden="1" customHeight="1">
      <c r="C413" s="502" t="str">
        <f>+Resúmen!C819</f>
        <v>01.02.06.04.01.09</v>
      </c>
      <c r="D413" s="515" t="str">
        <f>+Resúmen!D819</f>
        <v>ELIMIN. DESMONTE(CARG+V) T-NORMAL D=20KM P/TUB. DN 200 - 250 PARA TODA PROF.</v>
      </c>
      <c r="E413" s="503" t="str">
        <f>+Resúmen!E819</f>
        <v>M</v>
      </c>
      <c r="F413" s="503">
        <v>1</v>
      </c>
      <c r="G413" s="526">
        <f>+G412</f>
        <v>37.9</v>
      </c>
      <c r="H413" s="526"/>
      <c r="I413" s="526"/>
      <c r="J413" s="526"/>
      <c r="K413" s="548">
        <f t="shared" si="29"/>
        <v>37.9</v>
      </c>
      <c r="M413" s="379"/>
    </row>
    <row r="414" spans="3:13" ht="29.25" hidden="1" customHeight="1">
      <c r="C414" s="508" t="str">
        <f>+Resúmen!C820</f>
        <v>01.02.06.04.02</v>
      </c>
      <c r="D414" s="523" t="str">
        <f>+Resúmen!D820</f>
        <v>INSTALACIONES HIDRÁULICAS</v>
      </c>
      <c r="E414" s="509" t="s">
        <v>156</v>
      </c>
      <c r="F414" s="509">
        <v>0</v>
      </c>
      <c r="G414" s="529"/>
      <c r="H414" s="529"/>
      <c r="I414" s="529"/>
      <c r="J414" s="529"/>
      <c r="K414" s="548">
        <f t="shared" si="29"/>
        <v>0</v>
      </c>
      <c r="M414" s="379"/>
    </row>
    <row r="415" spans="3:13" ht="29.25" hidden="1" customHeight="1">
      <c r="C415" s="502" t="str">
        <f>+Resúmen!C821</f>
        <v>01.02.06.04.02.01</v>
      </c>
      <c r="D415" s="515" t="str">
        <f>+Resúmen!D821</f>
        <v>TUBERÍA DE HIERRO DÚCTIL K-9 DN 200 INCLUYE ANILLO + 1% DE DESPERDICIO</v>
      </c>
      <c r="E415" s="503" t="str">
        <f>+Resúmen!E821</f>
        <v>M</v>
      </c>
      <c r="F415" s="503">
        <v>1</v>
      </c>
      <c r="G415" s="526">
        <v>37.9</v>
      </c>
      <c r="H415" s="526"/>
      <c r="I415" s="526"/>
      <c r="J415" s="526"/>
      <c r="K415" s="548">
        <f t="shared" si="29"/>
        <v>37.9</v>
      </c>
      <c r="M415" s="379"/>
    </row>
    <row r="416" spans="3:13" ht="29.25" hidden="1" customHeight="1">
      <c r="C416" s="502" t="str">
        <f>+Resúmen!C822</f>
        <v>01.02.06.04.02.02</v>
      </c>
      <c r="D416" s="515" t="str">
        <f>+Resúmen!D822</f>
        <v>INSTALACIÓN DE TUBERÍA DE HIERRO DÚCTIL DN 200 INCLUYE PRUEBA HIDRÁULICA</v>
      </c>
      <c r="E416" s="503" t="str">
        <f>+Resúmen!E822</f>
        <v>M</v>
      </c>
      <c r="F416" s="503">
        <v>1</v>
      </c>
      <c r="G416" s="526">
        <f>+G415</f>
        <v>37.9</v>
      </c>
      <c r="H416" s="526"/>
      <c r="I416" s="526"/>
      <c r="J416" s="526"/>
      <c r="K416" s="548">
        <f t="shared" si="29"/>
        <v>37.9</v>
      </c>
      <c r="M416" s="379"/>
    </row>
    <row r="417" spans="3:13" ht="29.25" hidden="1" customHeight="1">
      <c r="C417" s="502" t="str">
        <f>+Resúmen!C823</f>
        <v>01.02.06.04.02.03</v>
      </c>
      <c r="D417" s="515" t="str">
        <f>+Resúmen!D823</f>
        <v>SUMINISTRO E INSTALACIÓN DE MANGA HDPE E= 8 MILS (200 MICRONES) PARA PROTECCIÓN DE TUBERÍAHD DN 200</v>
      </c>
      <c r="E417" s="503" t="str">
        <f>+Resúmen!E823</f>
        <v>M</v>
      </c>
      <c r="F417" s="503">
        <v>1</v>
      </c>
      <c r="G417" s="526">
        <f>+G416</f>
        <v>37.9</v>
      </c>
      <c r="H417" s="526"/>
      <c r="I417" s="526"/>
      <c r="J417" s="526"/>
      <c r="K417" s="548">
        <f t="shared" si="29"/>
        <v>37.9</v>
      </c>
      <c r="M417" s="379"/>
    </row>
    <row r="418" spans="3:13" ht="29.25" hidden="1" customHeight="1">
      <c r="C418" s="502" t="str">
        <f>+Resúmen!C824</f>
        <v>01.02.06.04.02.04</v>
      </c>
      <c r="D418" s="515" t="str">
        <f>+Resúmen!D824</f>
        <v>PRUEBA HIDRÁULICA DE TUBERÍA AGUA POTAB. DN 200</v>
      </c>
      <c r="E418" s="503" t="str">
        <f>+Resúmen!E824</f>
        <v>M</v>
      </c>
      <c r="F418" s="503">
        <v>1</v>
      </c>
      <c r="G418" s="526">
        <f>+G417</f>
        <v>37.9</v>
      </c>
      <c r="H418" s="526"/>
      <c r="I418" s="526"/>
      <c r="J418" s="526"/>
      <c r="K418" s="548">
        <f t="shared" si="29"/>
        <v>37.9</v>
      </c>
      <c r="M418" s="379"/>
    </row>
    <row r="419" spans="3:13" ht="29.25" hidden="1" customHeight="1">
      <c r="C419" s="502" t="str">
        <f>+Resúmen!C825</f>
        <v>01.02.06.04.02.05</v>
      </c>
      <c r="D419" s="515" t="str">
        <f>+Resúmen!D825</f>
        <v>CODO HIERRO DÚCTIL DE 45° (1/8) 2 ENCHUFES ESTANDAR DN 200</v>
      </c>
      <c r="E419" s="503" t="str">
        <f>+Resúmen!E825</f>
        <v>UND</v>
      </c>
      <c r="F419" s="503">
        <v>1</v>
      </c>
      <c r="G419" s="526">
        <v>3</v>
      </c>
      <c r="H419" s="526"/>
      <c r="I419" s="526"/>
      <c r="J419" s="526"/>
      <c r="K419" s="548">
        <f t="shared" si="29"/>
        <v>3</v>
      </c>
      <c r="M419" s="379"/>
    </row>
    <row r="420" spans="3:13" ht="29.25" hidden="1" customHeight="1">
      <c r="C420" s="502" t="str">
        <f>+Resúmen!C826</f>
        <v>01.02.06.04.02.06</v>
      </c>
      <c r="D420" s="515" t="str">
        <f>+Resúmen!D826</f>
        <v>CODO HIERRO DÚCTIL DE 22.5° (1/16) 2 ENCHUFES ESTANDAR DN 200</v>
      </c>
      <c r="E420" s="503" t="str">
        <f>+Resúmen!E826</f>
        <v>UND</v>
      </c>
      <c r="F420" s="503">
        <v>1</v>
      </c>
      <c r="G420" s="526">
        <v>1</v>
      </c>
      <c r="H420" s="526"/>
      <c r="I420" s="526"/>
      <c r="J420" s="526"/>
      <c r="K420" s="548">
        <f t="shared" si="29"/>
        <v>1</v>
      </c>
      <c r="M420" s="379"/>
    </row>
    <row r="421" spans="3:13" ht="29.25" hidden="1" customHeight="1">
      <c r="C421" s="502" t="str">
        <f>+Resúmen!C827</f>
        <v>01.02.06.04.02.07</v>
      </c>
      <c r="D421" s="515" t="str">
        <f>+Resúmen!D827</f>
        <v>CODO DE HIERRO DÚCTIL DE 22.5° (1/16) 2 BRIDAS PN 16 DN 200</v>
      </c>
      <c r="E421" s="503" t="str">
        <f>+Resúmen!E827</f>
        <v>UND</v>
      </c>
      <c r="F421" s="503">
        <v>1</v>
      </c>
      <c r="G421" s="526">
        <v>1</v>
      </c>
      <c r="H421" s="526"/>
      <c r="I421" s="526"/>
      <c r="J421" s="526"/>
      <c r="K421" s="548">
        <f t="shared" si="29"/>
        <v>1</v>
      </c>
      <c r="M421" s="379"/>
    </row>
    <row r="422" spans="3:13" ht="29.25" hidden="1" customHeight="1">
      <c r="C422" s="502" t="str">
        <f>+Resúmen!C828</f>
        <v>01.02.06.04.02.08</v>
      </c>
      <c r="D422" s="515" t="str">
        <f>+Resúmen!D828</f>
        <v>TEE CON 3 ENCHUFES ESTANDAR DE HO. DÚCTIL DN 250 X 200</v>
      </c>
      <c r="E422" s="503" t="str">
        <f>+Resúmen!E828</f>
        <v>UND</v>
      </c>
      <c r="F422" s="503">
        <v>1</v>
      </c>
      <c r="G422" s="526">
        <v>1</v>
      </c>
      <c r="H422" s="526"/>
      <c r="I422" s="526"/>
      <c r="J422" s="526"/>
      <c r="K422" s="548">
        <f t="shared" si="29"/>
        <v>1</v>
      </c>
      <c r="M422" s="379"/>
    </row>
    <row r="423" spans="3:13" ht="29.25" hidden="1" customHeight="1">
      <c r="C423" s="502" t="str">
        <f>+Resúmen!C829</f>
        <v>01.02.06.04.02.09</v>
      </c>
      <c r="D423" s="515" t="str">
        <f>+Resúmen!D829</f>
        <v>BRIDA-ENCHUFE ESTANDAR DE HIERRO DÚCTIL PN 16 DN 200</v>
      </c>
      <c r="E423" s="503" t="str">
        <f>+Resúmen!E829</f>
        <v>UND</v>
      </c>
      <c r="F423" s="503">
        <v>1</v>
      </c>
      <c r="G423" s="526">
        <v>1</v>
      </c>
      <c r="H423" s="526"/>
      <c r="I423" s="526"/>
      <c r="J423" s="526"/>
      <c r="K423" s="548">
        <f t="shared" si="29"/>
        <v>1</v>
      </c>
      <c r="M423" s="379"/>
    </row>
    <row r="424" spans="3:13" ht="29.25" hidden="1" customHeight="1">
      <c r="C424" s="502" t="str">
        <f>+Resúmen!C830</f>
        <v>01.02.06.04.02.10</v>
      </c>
      <c r="D424" s="515" t="str">
        <f>+Resúmen!D830</f>
        <v>BRIDA-ENCHUFE ESTANDAR DE HIERRO DÚCTIL PN 16 DN 250</v>
      </c>
      <c r="E424" s="503" t="str">
        <f>+Resúmen!E830</f>
        <v>UND</v>
      </c>
      <c r="F424" s="503">
        <v>1</v>
      </c>
      <c r="G424" s="526">
        <v>2</v>
      </c>
      <c r="H424" s="526"/>
      <c r="I424" s="526"/>
      <c r="J424" s="526"/>
      <c r="K424" s="548">
        <f t="shared" si="29"/>
        <v>2</v>
      </c>
      <c r="M424" s="379"/>
    </row>
    <row r="425" spans="3:13" ht="29.25" hidden="1" customHeight="1">
      <c r="C425" s="502" t="str">
        <f>+Resúmen!C831</f>
        <v>01.02.06.04.02.11</v>
      </c>
      <c r="D425" s="515" t="str">
        <f>+Resúmen!D831</f>
        <v>INSTALACIÓN DE ACCESORIOS DE HO. DÚCTIL DN 200 - 250</v>
      </c>
      <c r="E425" s="503" t="str">
        <f>+Resúmen!E831</f>
        <v>UND</v>
      </c>
      <c r="F425" s="503">
        <v>1</v>
      </c>
      <c r="G425" s="526">
        <v>9</v>
      </c>
      <c r="H425" s="526"/>
      <c r="I425" s="526"/>
      <c r="J425" s="526"/>
      <c r="K425" s="548">
        <f t="shared" si="29"/>
        <v>9</v>
      </c>
      <c r="M425" s="379"/>
    </row>
    <row r="426" spans="3:13" ht="29.25" hidden="1" customHeight="1">
      <c r="C426" s="502" t="str">
        <f>+Resúmen!C832</f>
        <v>01.02.06.04.02.12</v>
      </c>
      <c r="D426" s="515" t="str">
        <f>+Resúmen!D832</f>
        <v>CONCRETO F'C 175 KG/CM2 PARA ANCLAJES DE ACCESORIOS DN 200 - 250 (CEMENTO V)</v>
      </c>
      <c r="E426" s="503" t="str">
        <f>+Resúmen!E832</f>
        <v>UND</v>
      </c>
      <c r="F426" s="503">
        <v>1</v>
      </c>
      <c r="G426" s="526">
        <f>+G425</f>
        <v>9</v>
      </c>
      <c r="H426" s="526"/>
      <c r="I426" s="526"/>
      <c r="J426" s="526"/>
      <c r="K426" s="548">
        <f t="shared" si="29"/>
        <v>9</v>
      </c>
      <c r="M426" s="379"/>
    </row>
    <row r="427" spans="3:13" ht="29.25" hidden="1" customHeight="1">
      <c r="C427" s="502" t="str">
        <f>+Resúmen!C833</f>
        <v>01.02.06.04.02.13</v>
      </c>
      <c r="D427" s="515" t="str">
        <f>+Resúmen!D833</f>
        <v>VÁLVULA CPTA.BB, HO.DÚCTIL CIERRE ELÁST. VÁSTAGO ACERO INOXIDABLE DN 200</v>
      </c>
      <c r="E427" s="503" t="str">
        <f>+Resúmen!E833</f>
        <v>UND</v>
      </c>
      <c r="F427" s="503">
        <v>1</v>
      </c>
      <c r="G427" s="526">
        <v>1</v>
      </c>
      <c r="H427" s="526"/>
      <c r="I427" s="526"/>
      <c r="J427" s="526"/>
      <c r="K427" s="548">
        <f t="shared" si="29"/>
        <v>1</v>
      </c>
      <c r="M427" s="379"/>
    </row>
    <row r="428" spans="3:13" ht="29.25" hidden="1" customHeight="1">
      <c r="C428" s="502" t="str">
        <f>+Resúmen!C834</f>
        <v>01.02.06.04.02.14</v>
      </c>
      <c r="D428" s="515" t="str">
        <f>+Resúmen!D834</f>
        <v>INSTALACIÓN DE VÁLVULA COMPUERTA DN 200 A 250 MM INCL. REGISTRO</v>
      </c>
      <c r="E428" s="503" t="str">
        <f>+Resúmen!E834</f>
        <v>UND</v>
      </c>
      <c r="F428" s="503">
        <v>1</v>
      </c>
      <c r="G428" s="526">
        <v>1</v>
      </c>
      <c r="H428" s="526"/>
      <c r="I428" s="526"/>
      <c r="J428" s="526"/>
      <c r="K428" s="548">
        <f t="shared" si="29"/>
        <v>1</v>
      </c>
      <c r="M428" s="379"/>
    </row>
    <row r="429" spans="3:13" ht="29.25" hidden="1" customHeight="1">
      <c r="C429" s="506" t="str">
        <f>+Resúmen!C835</f>
        <v>01.02.06.05</v>
      </c>
      <c r="D429" s="522" t="str">
        <f>+Resúmen!D835</f>
        <v>DERIVACIÓN (2+569.54)</v>
      </c>
      <c r="E429" s="507" t="s">
        <v>156</v>
      </c>
      <c r="F429" s="507">
        <v>0</v>
      </c>
      <c r="G429" s="528"/>
      <c r="H429" s="528"/>
      <c r="I429" s="528"/>
      <c r="J429" s="528"/>
      <c r="K429" s="548">
        <f t="shared" si="29"/>
        <v>0</v>
      </c>
      <c r="M429" s="379"/>
    </row>
    <row r="430" spans="3:13" ht="29.25" hidden="1" customHeight="1">
      <c r="C430" s="508" t="str">
        <f>+Resúmen!C836</f>
        <v>01.02.06.05.01</v>
      </c>
      <c r="D430" s="523" t="str">
        <f>+Resúmen!D836</f>
        <v>OBRAS CIVILES</v>
      </c>
      <c r="E430" s="509" t="s">
        <v>156</v>
      </c>
      <c r="F430" s="509">
        <v>0</v>
      </c>
      <c r="G430" s="529"/>
      <c r="H430" s="529"/>
      <c r="I430" s="529"/>
      <c r="J430" s="529"/>
      <c r="K430" s="548">
        <f t="shared" si="29"/>
        <v>0</v>
      </c>
      <c r="M430" s="379"/>
    </row>
    <row r="431" spans="3:13" ht="29.25" hidden="1" customHeight="1">
      <c r="C431" s="502" t="str">
        <f>+Resúmen!C837</f>
        <v>01.02.06.05.01.01</v>
      </c>
      <c r="D431" s="515" t="str">
        <f>+Resúmen!D837</f>
        <v>TRAZO Y REPLANTEO INICIAL DEL PROYECTO, PARA LÍNEAS-REDES CON ESTACIÓN TOTAL</v>
      </c>
      <c r="E431" s="503" t="str">
        <f>+Resúmen!E837</f>
        <v>KM</v>
      </c>
      <c r="F431" s="503">
        <v>1</v>
      </c>
      <c r="G431" s="526">
        <f>+G432</f>
        <v>1.491E-2</v>
      </c>
      <c r="H431" s="526"/>
      <c r="I431" s="526"/>
      <c r="J431" s="526"/>
      <c r="K431" s="548">
        <f t="shared" ref="K431:K447" si="30">+PRODUCT(F431:I431)</f>
        <v>1.491E-2</v>
      </c>
      <c r="M431" s="379"/>
    </row>
    <row r="432" spans="3:13" ht="29.25" hidden="1" customHeight="1">
      <c r="C432" s="502" t="str">
        <f>+Resúmen!C838</f>
        <v>01.02.06.05.01.02</v>
      </c>
      <c r="D432" s="515" t="str">
        <f>+Resúmen!D838</f>
        <v>REPLANTEO FINAL DE LA OBRA, PARA LÍNEAS REDES CON ESTACIÓN TOTAL</v>
      </c>
      <c r="E432" s="503" t="str">
        <f>+Resúmen!E838</f>
        <v>KM</v>
      </c>
      <c r="F432" s="503">
        <v>1</v>
      </c>
      <c r="G432" s="526">
        <f>+G435/1000</f>
        <v>1.491E-2</v>
      </c>
      <c r="H432" s="526"/>
      <c r="I432" s="526"/>
      <c r="J432" s="526"/>
      <c r="K432" s="548">
        <f t="shared" si="30"/>
        <v>1.491E-2</v>
      </c>
      <c r="M432" s="379"/>
    </row>
    <row r="433" spans="3:13" ht="29.25" hidden="1" customHeight="1">
      <c r="C433" s="502" t="str">
        <f>+Resúmen!C839</f>
        <v>01.02.06.05.01.03</v>
      </c>
      <c r="D433" s="515" t="str">
        <f>+Resúmen!D839</f>
        <v>CINTA PLÁSTICA SEÑALIZADORA PARA LÍMITE DE SEGURIDAD DE OBRA</v>
      </c>
      <c r="E433" s="503" t="str">
        <f>+Resúmen!E839</f>
        <v>M</v>
      </c>
      <c r="F433" s="503">
        <v>1</v>
      </c>
      <c r="G433" s="526">
        <f>+G434</f>
        <v>29.82</v>
      </c>
      <c r="H433" s="526"/>
      <c r="I433" s="526"/>
      <c r="J433" s="526"/>
      <c r="K433" s="548">
        <f t="shared" si="30"/>
        <v>29.82</v>
      </c>
      <c r="M433" s="379"/>
    </row>
    <row r="434" spans="3:13" ht="29.25" hidden="1" customHeight="1">
      <c r="C434" s="502" t="str">
        <f>+Resúmen!C840</f>
        <v>01.02.06.05.01.04</v>
      </c>
      <c r="D434" s="515" t="str">
        <f>+Resúmen!D840</f>
        <v>CERCO DE MALLA HDP DE 1 M ALTURA PARA LÍMITE DE SEGURIDAD DE OBRA</v>
      </c>
      <c r="E434" s="503" t="str">
        <f>+Resúmen!E840</f>
        <v>M</v>
      </c>
      <c r="F434" s="503">
        <v>1</v>
      </c>
      <c r="G434" s="526">
        <f>+G435*2</f>
        <v>29.82</v>
      </c>
      <c r="H434" s="526"/>
      <c r="I434" s="526"/>
      <c r="J434" s="526"/>
      <c r="K434" s="548">
        <f t="shared" si="30"/>
        <v>29.82</v>
      </c>
      <c r="M434" s="379"/>
    </row>
    <row r="435" spans="3:13" ht="29.25" hidden="1" customHeight="1">
      <c r="C435" s="502" t="str">
        <f>+Resúmen!C841</f>
        <v>01.02.06.05.01.05</v>
      </c>
      <c r="D435" s="515" t="str">
        <f>+Resúmen!D841</f>
        <v>RIEGO DE ZONA DE TRABAJO PARA MITIGAR LA CONTAMINACIÓN - POLVO (INCL. COSTO DE AGUA Y TRANSPORTE SURTIDOR A OBRA )</v>
      </c>
      <c r="E435" s="503" t="str">
        <f>+Resúmen!E841</f>
        <v>M</v>
      </c>
      <c r="F435" s="503">
        <v>1</v>
      </c>
      <c r="G435" s="526">
        <f>+G436</f>
        <v>14.91</v>
      </c>
      <c r="H435" s="526"/>
      <c r="I435" s="526"/>
      <c r="J435" s="526"/>
      <c r="K435" s="548">
        <f t="shared" si="30"/>
        <v>14.91</v>
      </c>
      <c r="M435" s="379"/>
    </row>
    <row r="436" spans="3:13" ht="29.25" hidden="1" customHeight="1">
      <c r="C436" s="502" t="str">
        <f>+Resúmen!C842</f>
        <v>01.02.06.05.01.06</v>
      </c>
      <c r="D436" s="515" t="str">
        <f>+Resúmen!D842</f>
        <v>EXCAVACIÓN ZANJA (S/EXP) P/TUB. T-ROCOSO DN 200 - 250 DE 1,26 M A 1,50 M PROF.</v>
      </c>
      <c r="E436" s="503" t="str">
        <f>+Resúmen!E842</f>
        <v>M</v>
      </c>
      <c r="F436" s="503">
        <v>1</v>
      </c>
      <c r="G436" s="526">
        <f>+G442</f>
        <v>14.91</v>
      </c>
      <c r="H436" s="526"/>
      <c r="I436" s="526"/>
      <c r="J436" s="526"/>
      <c r="K436" s="548">
        <f t="shared" si="30"/>
        <v>14.91</v>
      </c>
      <c r="M436" s="379"/>
    </row>
    <row r="437" spans="3:13" ht="29.25" hidden="1" customHeight="1">
      <c r="C437" s="502" t="str">
        <f>+Resúmen!C843</f>
        <v>01.02.06.05.01.07</v>
      </c>
      <c r="D437" s="515" t="str">
        <f>+Resúmen!D843</f>
        <v>REFINE Y NIVEL DE ZANJA TERR-ROCOSO P/ TUB. DN 200 - 250 PARA TODA PROFUND.</v>
      </c>
      <c r="E437" s="503" t="str">
        <f>+Resúmen!E843</f>
        <v>M</v>
      </c>
      <c r="F437" s="503">
        <v>1</v>
      </c>
      <c r="G437" s="526">
        <f>+G436</f>
        <v>14.91</v>
      </c>
      <c r="H437" s="526"/>
      <c r="I437" s="526"/>
      <c r="J437" s="526"/>
      <c r="K437" s="548">
        <f t="shared" si="30"/>
        <v>14.91</v>
      </c>
      <c r="M437" s="379"/>
    </row>
    <row r="438" spans="3:13" ht="29.25" hidden="1" customHeight="1">
      <c r="C438" s="502" t="str">
        <f>+Resúmen!C844</f>
        <v>01.02.06.05.01.08</v>
      </c>
      <c r="D438" s="515" t="str">
        <f>+Resúmen!D844</f>
        <v>RELLENO COMP.ZANJA(PULSO)P/TUB T-ROCOSO DN 200 - 250 DE 1,26 M A 1,50 M PROF.</v>
      </c>
      <c r="E438" s="503" t="str">
        <f>+Resúmen!E844</f>
        <v>M</v>
      </c>
      <c r="F438" s="503">
        <v>1</v>
      </c>
      <c r="G438" s="526">
        <f>+G437</f>
        <v>14.91</v>
      </c>
      <c r="H438" s="526"/>
      <c r="I438" s="526"/>
      <c r="J438" s="526"/>
      <c r="K438" s="548">
        <f t="shared" si="30"/>
        <v>14.91</v>
      </c>
      <c r="M438" s="379"/>
    </row>
    <row r="439" spans="3:13" ht="29.25" hidden="1" customHeight="1">
      <c r="C439" s="502" t="str">
        <f>+Resúmen!C845</f>
        <v>01.02.06.05.01.09</v>
      </c>
      <c r="D439" s="515" t="str">
        <f>+Resúmen!D845</f>
        <v>ELIMIN. DESMONTE(CARG+V) T-ROCOSO D=20KM P/TUB DN 200 - 250 DE 1,26 M A 1,50 M</v>
      </c>
      <c r="E439" s="503" t="str">
        <f>+Resúmen!E845</f>
        <v>M</v>
      </c>
      <c r="F439" s="503">
        <v>1</v>
      </c>
      <c r="G439" s="526">
        <f>+G438</f>
        <v>14.91</v>
      </c>
      <c r="H439" s="526"/>
      <c r="I439" s="526"/>
      <c r="J439" s="526"/>
      <c r="K439" s="548">
        <f t="shared" si="30"/>
        <v>14.91</v>
      </c>
      <c r="M439" s="379"/>
    </row>
    <row r="440" spans="3:13" ht="29.25" hidden="1" customHeight="1">
      <c r="C440" s="502" t="str">
        <f>+Resúmen!C846</f>
        <v>01.02.06.05.01.10</v>
      </c>
      <c r="D440" s="515" t="str">
        <f>+Resúmen!D846</f>
        <v>CORTEY RETIRO DE TUBERÍA DE IMPULSIÓN EXISTENTE.</v>
      </c>
      <c r="E440" s="503" t="str">
        <f>+Resúmen!E846</f>
        <v>UND</v>
      </c>
      <c r="F440" s="503">
        <v>1</v>
      </c>
      <c r="G440" s="526">
        <v>1</v>
      </c>
      <c r="H440" s="526"/>
      <c r="I440" s="526"/>
      <c r="J440" s="526"/>
      <c r="K440" s="548">
        <f t="shared" si="30"/>
        <v>1</v>
      </c>
      <c r="M440" s="379"/>
    </row>
    <row r="441" spans="3:13" ht="29.25" hidden="1" customHeight="1">
      <c r="C441" s="508" t="str">
        <f>+Resúmen!C847</f>
        <v>01.02.06.05.02</v>
      </c>
      <c r="D441" s="523" t="str">
        <f>+Resúmen!D847</f>
        <v>INSTALACIONES HIDRÁULICAS</v>
      </c>
      <c r="E441" s="509" t="s">
        <v>156</v>
      </c>
      <c r="F441" s="509">
        <v>0</v>
      </c>
      <c r="G441" s="529"/>
      <c r="H441" s="529"/>
      <c r="I441" s="529"/>
      <c r="J441" s="529"/>
      <c r="K441" s="548">
        <f t="shared" si="30"/>
        <v>0</v>
      </c>
      <c r="M441" s="379"/>
    </row>
    <row r="442" spans="3:13" ht="29.25" hidden="1" customHeight="1">
      <c r="C442" s="502" t="str">
        <f>+Resúmen!C848</f>
        <v>01.02.06.05.02.01</v>
      </c>
      <c r="D442" s="515" t="str">
        <f>+Resúmen!D848</f>
        <v>TUBERÍA DE HIERRO DÚCTIL K-9 DN 200 INCLUYE ANILLO + 1% DE DESPERDICIO</v>
      </c>
      <c r="E442" s="503" t="str">
        <f>+Resúmen!E848</f>
        <v>M</v>
      </c>
      <c r="F442" s="503">
        <v>1</v>
      </c>
      <c r="G442" s="526">
        <v>14.91</v>
      </c>
      <c r="H442" s="526"/>
      <c r="I442" s="526"/>
      <c r="J442" s="526"/>
      <c r="K442" s="548">
        <f t="shared" si="30"/>
        <v>14.91</v>
      </c>
      <c r="M442" s="379"/>
    </row>
    <row r="443" spans="3:13" ht="29.25" hidden="1" customHeight="1">
      <c r="C443" s="502" t="str">
        <f>+Resúmen!C849</f>
        <v>01.02.06.05.02.02</v>
      </c>
      <c r="D443" s="515" t="str">
        <f>+Resúmen!D849</f>
        <v>INSTALACIÓN DE TUBERÍA DE HIERRO DÚCTIL DN 200 INCLUYE PRUEBA HIDRÁULICA</v>
      </c>
      <c r="E443" s="503" t="str">
        <f>+Resúmen!E849</f>
        <v>M</v>
      </c>
      <c r="F443" s="503">
        <v>1</v>
      </c>
      <c r="G443" s="526">
        <f>+G442</f>
        <v>14.91</v>
      </c>
      <c r="H443" s="526"/>
      <c r="I443" s="526"/>
      <c r="J443" s="526"/>
      <c r="K443" s="548">
        <f t="shared" si="30"/>
        <v>14.91</v>
      </c>
      <c r="M443" s="379"/>
    </row>
    <row r="444" spans="3:13" ht="29.25" hidden="1" customHeight="1">
      <c r="C444" s="502" t="str">
        <f>+Resúmen!C850</f>
        <v>01.02.06.05.02.03</v>
      </c>
      <c r="D444" s="515" t="str">
        <f>+Resúmen!D850</f>
        <v>SUMINISTRO E INSTALACIÓN DE MANGA HDPE E= 8 MILS (200 MICRONES) PARA PROTECCIÓN DE TUBERÍAHD DN 200</v>
      </c>
      <c r="E444" s="503" t="str">
        <f>+Resúmen!E850</f>
        <v>M</v>
      </c>
      <c r="F444" s="503">
        <v>1</v>
      </c>
      <c r="G444" s="526">
        <f>+G443</f>
        <v>14.91</v>
      </c>
      <c r="H444" s="526"/>
      <c r="I444" s="526"/>
      <c r="J444" s="526"/>
      <c r="K444" s="548">
        <f t="shared" si="30"/>
        <v>14.91</v>
      </c>
      <c r="M444" s="379"/>
    </row>
    <row r="445" spans="3:13" ht="29.25" hidden="1" customHeight="1">
      <c r="C445" s="502" t="str">
        <f>+Resúmen!C851</f>
        <v>01.02.06.05.02.04</v>
      </c>
      <c r="D445" s="515" t="str">
        <f>+Resúmen!D851</f>
        <v>PRUEBA HIDRÁULICA DE TUBERÍA AGUA POTAB. DN 200</v>
      </c>
      <c r="E445" s="503" t="str">
        <f>+Resúmen!E851</f>
        <v>M</v>
      </c>
      <c r="F445" s="503">
        <v>1</v>
      </c>
      <c r="G445" s="526">
        <f>+G444</f>
        <v>14.91</v>
      </c>
      <c r="H445" s="526"/>
      <c r="I445" s="526"/>
      <c r="J445" s="526"/>
      <c r="K445" s="548">
        <f t="shared" si="30"/>
        <v>14.91</v>
      </c>
      <c r="M445" s="379"/>
    </row>
    <row r="446" spans="3:13" ht="29.25" hidden="1" customHeight="1">
      <c r="C446" s="502" t="str">
        <f>+Resúmen!C852</f>
        <v>01.02.06.05.02.05</v>
      </c>
      <c r="D446" s="515" t="str">
        <f>+Resúmen!D852</f>
        <v>CODO HIERRO DÚCTIL DE 90° (1/4) 2 ENCHUFES ESTANDAR DN 200</v>
      </c>
      <c r="E446" s="503" t="str">
        <f>+Resúmen!E852</f>
        <v>UND</v>
      </c>
      <c r="F446" s="503">
        <v>1</v>
      </c>
      <c r="G446" s="526">
        <v>1</v>
      </c>
      <c r="H446" s="526"/>
      <c r="I446" s="526"/>
      <c r="J446" s="526"/>
      <c r="K446" s="548">
        <f t="shared" si="30"/>
        <v>1</v>
      </c>
      <c r="M446" s="379"/>
    </row>
    <row r="447" spans="3:13" ht="29.25" hidden="1" customHeight="1">
      <c r="C447" s="502" t="str">
        <f>+Resúmen!C853</f>
        <v>01.02.06.05.02.06</v>
      </c>
      <c r="D447" s="515" t="str">
        <f>+Resúmen!D853</f>
        <v>CODO HIERRO DÚCTIL DE 45° (1/8) 2 ENCHUFES ESTANDAR DN 200</v>
      </c>
      <c r="E447" s="503" t="str">
        <f>+Resúmen!E853</f>
        <v>UND</v>
      </c>
      <c r="F447" s="503">
        <v>1</v>
      </c>
      <c r="G447" s="526">
        <v>1</v>
      </c>
      <c r="H447" s="526"/>
      <c r="I447" s="526"/>
      <c r="J447" s="526"/>
      <c r="K447" s="548">
        <f t="shared" si="30"/>
        <v>1</v>
      </c>
      <c r="M447" s="379"/>
    </row>
    <row r="448" spans="3:13" ht="29.25" hidden="1" customHeight="1">
      <c r="C448" s="502" t="str">
        <f>+Resúmen!C854</f>
        <v>01.02.06.05.02.07</v>
      </c>
      <c r="D448" s="515" t="str">
        <f>+Resúmen!D854</f>
        <v>TEE CON 3 ENCHUFES ESTANDAR DE HO. DÚCTIL DN 250 X 200</v>
      </c>
      <c r="E448" s="503" t="str">
        <f>+Resúmen!E854</f>
        <v>UND</v>
      </c>
      <c r="F448" s="503">
        <v>1</v>
      </c>
      <c r="G448" s="526">
        <v>1</v>
      </c>
      <c r="H448" s="526"/>
      <c r="I448" s="526"/>
      <c r="J448" s="526"/>
      <c r="K448" s="548">
        <f t="shared" ref="K448:K452" si="31">+PRODUCT(F448:I448)</f>
        <v>1</v>
      </c>
      <c r="M448" s="379"/>
    </row>
    <row r="449" spans="3:13" ht="29.25" hidden="1" customHeight="1">
      <c r="C449" s="502" t="str">
        <f>+Resúmen!C855</f>
        <v>01.02.06.05.02.08</v>
      </c>
      <c r="D449" s="515" t="str">
        <f>+Resúmen!D855</f>
        <v>TEE CON 3 ENCHUFES ESTANDAR DE HO. DÚCTIL DN 200 X 200</v>
      </c>
      <c r="E449" s="503" t="str">
        <f>+Resúmen!E855</f>
        <v>UND</v>
      </c>
      <c r="F449" s="503">
        <v>1</v>
      </c>
      <c r="G449" s="526">
        <v>1</v>
      </c>
      <c r="H449" s="526"/>
      <c r="I449" s="526"/>
      <c r="J449" s="526"/>
      <c r="K449" s="548">
        <f t="shared" si="31"/>
        <v>1</v>
      </c>
      <c r="M449" s="379"/>
    </row>
    <row r="450" spans="3:13" ht="29.25" hidden="1" customHeight="1">
      <c r="C450" s="502" t="str">
        <f>+Resúmen!C856</f>
        <v>01.02.06.05.02.09</v>
      </c>
      <c r="D450" s="515" t="str">
        <f>+Resúmen!D856</f>
        <v>BRIDA-ENCHUFE ESTANDAR DE HIERRO DÚCTIL PN 16 DN 200</v>
      </c>
      <c r="E450" s="503" t="str">
        <f>+Resúmen!E856</f>
        <v>UND</v>
      </c>
      <c r="F450" s="503">
        <v>1</v>
      </c>
      <c r="G450" s="526">
        <v>1</v>
      </c>
      <c r="H450" s="526"/>
      <c r="I450" s="526"/>
      <c r="J450" s="526"/>
      <c r="K450" s="548">
        <f t="shared" si="31"/>
        <v>1</v>
      </c>
      <c r="M450" s="379"/>
    </row>
    <row r="451" spans="3:13" ht="29.25" hidden="1" customHeight="1">
      <c r="C451" s="502" t="str">
        <f>+Resúmen!C857</f>
        <v>01.02.06.05.02.10</v>
      </c>
      <c r="D451" s="515" t="str">
        <f>+Resúmen!D857</f>
        <v>BRIDA-ENCHUFE ESTANDAR DE HIERRO DÚCTIL PN 16 DN 250</v>
      </c>
      <c r="E451" s="503" t="str">
        <f>+Resúmen!E857</f>
        <v>UND</v>
      </c>
      <c r="F451" s="503">
        <v>1</v>
      </c>
      <c r="G451" s="526">
        <v>2</v>
      </c>
      <c r="H451" s="526"/>
      <c r="I451" s="526"/>
      <c r="J451" s="526"/>
      <c r="K451" s="548">
        <f t="shared" si="31"/>
        <v>2</v>
      </c>
      <c r="M451" s="379"/>
    </row>
    <row r="452" spans="3:13" ht="29.25" hidden="1" customHeight="1">
      <c r="C452" s="502" t="str">
        <f>+Resúmen!C858</f>
        <v>01.02.06.05.02.11</v>
      </c>
      <c r="D452" s="515" t="str">
        <f>+Resúmen!D858</f>
        <v>INSTALACIÓN DE ACCESORIOS DE HO. DÚCTIL DN 200 - 250</v>
      </c>
      <c r="E452" s="503" t="str">
        <f>+Resúmen!E858</f>
        <v>UND</v>
      </c>
      <c r="F452" s="503">
        <v>1</v>
      </c>
      <c r="G452" s="526">
        <v>7</v>
      </c>
      <c r="H452" s="526"/>
      <c r="I452" s="526"/>
      <c r="J452" s="526"/>
      <c r="K452" s="548">
        <f t="shared" si="31"/>
        <v>7</v>
      </c>
      <c r="M452" s="379"/>
    </row>
    <row r="453" spans="3:13" ht="29.25" hidden="1" customHeight="1">
      <c r="C453" s="502" t="str">
        <f>+Resúmen!C859</f>
        <v>01.02.06.05.02.12</v>
      </c>
      <c r="D453" s="515" t="str">
        <f>+Resúmen!D859</f>
        <v>CONCRETO F'C 175 KG/CM2 PARA ANCLAJES DE ACCESORIOS DN 200 - 250 (CEMENTO V)</v>
      </c>
      <c r="E453" s="503" t="str">
        <f>+Resúmen!E859</f>
        <v>UND</v>
      </c>
      <c r="F453" s="503">
        <v>1</v>
      </c>
      <c r="G453" s="526">
        <v>7</v>
      </c>
      <c r="H453" s="526"/>
      <c r="I453" s="526"/>
      <c r="J453" s="526"/>
      <c r="K453" s="548">
        <f t="shared" ref="K453:K472" si="32">+PRODUCT(F453:I453)</f>
        <v>7</v>
      </c>
      <c r="M453" s="379"/>
    </row>
    <row r="454" spans="3:13" ht="29.25" hidden="1" customHeight="1">
      <c r="C454" s="502" t="str">
        <f>+Resúmen!C860</f>
        <v>01.02.06.05.02.13</v>
      </c>
      <c r="D454" s="515" t="str">
        <f>+Resúmen!D860</f>
        <v>VÁLVULA CPTA.BB, HO.DÚCTIL CIERRE ELÁST. VÁSTAGO ACERO INOXIDABLE DN 200</v>
      </c>
      <c r="E454" s="503" t="str">
        <f>+Resúmen!E860</f>
        <v>UND</v>
      </c>
      <c r="F454" s="503">
        <v>1</v>
      </c>
      <c r="G454" s="526">
        <v>1</v>
      </c>
      <c r="H454" s="526"/>
      <c r="I454" s="526"/>
      <c r="J454" s="526"/>
      <c r="K454" s="548">
        <f t="shared" si="32"/>
        <v>1</v>
      </c>
      <c r="M454" s="379"/>
    </row>
    <row r="455" spans="3:13" ht="29.25" hidden="1" customHeight="1">
      <c r="C455" s="502" t="str">
        <f>+Resúmen!C861</f>
        <v>01.02.06.05.02.14</v>
      </c>
      <c r="D455" s="515" t="str">
        <f>+Resúmen!D861</f>
        <v>INSTALACIÓN DE VÁLVULA COMPUERTA DN 200 A 250 MM INCL. REGISTRO</v>
      </c>
      <c r="E455" s="503" t="str">
        <f>+Resúmen!E861</f>
        <v>UND</v>
      </c>
      <c r="F455" s="503">
        <v>1</v>
      </c>
      <c r="G455" s="526">
        <v>1</v>
      </c>
      <c r="H455" s="526"/>
      <c r="I455" s="526"/>
      <c r="J455" s="526"/>
      <c r="K455" s="548">
        <f t="shared" si="32"/>
        <v>1</v>
      </c>
      <c r="M455" s="379"/>
    </row>
    <row r="456" spans="3:13" ht="29.25" hidden="1" customHeight="1">
      <c r="C456" s="502" t="str">
        <f>+Resúmen!C862</f>
        <v>01.02.06.05.02.15</v>
      </c>
      <c r="D456" s="515" t="str">
        <f>+Resúmen!D862</f>
        <v>EMPAQUETADURA DE JEBE ENLONADA DN 250</v>
      </c>
      <c r="E456" s="503" t="str">
        <f>+Resúmen!E862</f>
        <v>UND</v>
      </c>
      <c r="F456" s="503">
        <v>1</v>
      </c>
      <c r="G456" s="526">
        <v>3</v>
      </c>
      <c r="H456" s="526"/>
      <c r="I456" s="526"/>
      <c r="J456" s="526"/>
      <c r="K456" s="548">
        <f t="shared" si="32"/>
        <v>3</v>
      </c>
      <c r="M456" s="379"/>
    </row>
    <row r="457" spans="3:13" ht="29.25" hidden="1" customHeight="1">
      <c r="C457" s="502" t="str">
        <f>+Resúmen!C863</f>
        <v>01.02.06.05.02.16</v>
      </c>
      <c r="D457" s="515" t="str">
        <f>+Resúmen!D863</f>
        <v>EMPAQUETADURA DE JEBE ENLONADA DN 200</v>
      </c>
      <c r="E457" s="503" t="str">
        <f>+Resúmen!E863</f>
        <v>UND</v>
      </c>
      <c r="F457" s="503">
        <v>1</v>
      </c>
      <c r="G457" s="526">
        <v>2</v>
      </c>
      <c r="H457" s="526"/>
      <c r="I457" s="526"/>
      <c r="J457" s="526"/>
      <c r="K457" s="548">
        <f t="shared" si="32"/>
        <v>2</v>
      </c>
      <c r="M457" s="379"/>
    </row>
    <row r="458" spans="3:13" ht="29.25" hidden="1" customHeight="1">
      <c r="C458" s="502" t="str">
        <f>+Resúmen!C864</f>
        <v>01.02.06.05.02.17</v>
      </c>
      <c r="D458" s="515" t="str">
        <f>+Resúmen!D864</f>
        <v>PERNO DE ACERO INCLUYE TUERCA PARA UNIR BRIDAS DN 250</v>
      </c>
      <c r="E458" s="503" t="str">
        <f>+Resúmen!E864</f>
        <v>UND</v>
      </c>
      <c r="F458" s="503">
        <v>1</v>
      </c>
      <c r="G458" s="526">
        <f>+G456*8</f>
        <v>24</v>
      </c>
      <c r="H458" s="526"/>
      <c r="I458" s="526"/>
      <c r="J458" s="526"/>
      <c r="K458" s="548">
        <f t="shared" si="32"/>
        <v>24</v>
      </c>
      <c r="M458" s="379"/>
    </row>
    <row r="459" spans="3:13" ht="29.25" hidden="1" customHeight="1">
      <c r="C459" s="502" t="str">
        <f>+Resúmen!C865</f>
        <v>01.02.06.05.02.18</v>
      </c>
      <c r="D459" s="515" t="str">
        <f>+Resúmen!D865</f>
        <v>PERNO DE ACERO INCLUYE TUERCA PARA UNIR BRIDAS DN 200</v>
      </c>
      <c r="E459" s="503" t="str">
        <f>+Resúmen!E865</f>
        <v>UND</v>
      </c>
      <c r="F459" s="503">
        <v>1</v>
      </c>
      <c r="G459" s="526">
        <f>+G457*8</f>
        <v>16</v>
      </c>
      <c r="H459" s="526"/>
      <c r="I459" s="526"/>
      <c r="J459" s="526"/>
      <c r="K459" s="548">
        <f t="shared" si="32"/>
        <v>16</v>
      </c>
      <c r="M459" s="379"/>
    </row>
    <row r="460" spans="3:13" ht="29.25" hidden="1" customHeight="1">
      <c r="C460" s="506" t="str">
        <f>+Resúmen!C866</f>
        <v>01.02.06.06</v>
      </c>
      <c r="D460" s="522" t="str">
        <f>+Resúmen!D866</f>
        <v>RESERVORIO R-183</v>
      </c>
      <c r="E460" s="507" t="s">
        <v>156</v>
      </c>
      <c r="F460" s="507">
        <v>0</v>
      </c>
      <c r="G460" s="528"/>
      <c r="H460" s="528"/>
      <c r="I460" s="528"/>
      <c r="J460" s="528"/>
      <c r="K460" s="548">
        <f t="shared" si="32"/>
        <v>0</v>
      </c>
      <c r="M460" s="379"/>
    </row>
    <row r="461" spans="3:13" ht="29.25" hidden="1" customHeight="1">
      <c r="C461" s="502" t="str">
        <f>+Resúmen!C867</f>
        <v>01.02.06.06.01</v>
      </c>
      <c r="D461" s="515" t="str">
        <f>+Resúmen!D867</f>
        <v>PASE DE TUBERÍA POR ESTRUCTURA EXISTENTE INCL. ROTURA Y RESANE</v>
      </c>
      <c r="E461" s="503" t="str">
        <f>+Resúmen!E867</f>
        <v>UND</v>
      </c>
      <c r="F461" s="503">
        <v>1</v>
      </c>
      <c r="G461" s="526">
        <v>1</v>
      </c>
      <c r="H461" s="526"/>
      <c r="I461" s="526"/>
      <c r="J461" s="526"/>
      <c r="K461" s="548">
        <f t="shared" si="32"/>
        <v>1</v>
      </c>
      <c r="M461" s="379"/>
    </row>
    <row r="462" spans="3:13" ht="29.25" hidden="1" customHeight="1">
      <c r="C462" s="502" t="str">
        <f>+Resúmen!C868</f>
        <v>01.02.06.06.02</v>
      </c>
      <c r="D462" s="515" t="str">
        <f>+Resúmen!D868</f>
        <v>CORTE+ROTURA, ED Y REPOSICIÓN DE PISO F'C 140 KG/CM2 DE 10 CM ESPESOR (CEMENTO PV)</v>
      </c>
      <c r="E462" s="503" t="str">
        <f>+Resúmen!E868</f>
        <v>M2</v>
      </c>
      <c r="F462" s="503">
        <v>1</v>
      </c>
      <c r="G462" s="526">
        <v>2.4</v>
      </c>
      <c r="H462" s="526"/>
      <c r="I462" s="526"/>
      <c r="J462" s="526"/>
      <c r="K462" s="548">
        <f t="shared" si="32"/>
        <v>2.4</v>
      </c>
      <c r="M462" s="379"/>
    </row>
    <row r="463" spans="3:13" ht="29.25" hidden="1" customHeight="1">
      <c r="C463" s="502" t="str">
        <f>+Resúmen!C869</f>
        <v>01.02.06.06.03</v>
      </c>
      <c r="D463" s="515" t="str">
        <f>+Resúmen!D869</f>
        <v>TUBERÍA DE ACERO SHC-40 P/EQUIPAMIENTO DN 250 INCLUYE 1% DE DESPERDICIO</v>
      </c>
      <c r="E463" s="503" t="str">
        <f>+Resúmen!E869</f>
        <v>M</v>
      </c>
      <c r="F463" s="503">
        <v>1</v>
      </c>
      <c r="G463" s="526">
        <v>8.25</v>
      </c>
      <c r="H463" s="526"/>
      <c r="I463" s="526"/>
      <c r="J463" s="526"/>
      <c r="K463" s="548">
        <f t="shared" si="32"/>
        <v>8.25</v>
      </c>
      <c r="M463" s="379"/>
    </row>
    <row r="464" spans="3:13" ht="29.25" hidden="1" customHeight="1">
      <c r="C464" s="502" t="str">
        <f>+Resúmen!C870</f>
        <v>01.02.06.06.04</v>
      </c>
      <c r="D464" s="515" t="str">
        <f>+Resúmen!D870</f>
        <v>CODO DE HIERRO DÚCTIL DE 45° (1/8) 2 BRIDAS PN 16 DN 250</v>
      </c>
      <c r="E464" s="503" t="str">
        <f>+Resúmen!E870</f>
        <v>UND</v>
      </c>
      <c r="F464" s="503">
        <v>1</v>
      </c>
      <c r="G464" s="526">
        <v>2</v>
      </c>
      <c r="H464" s="526"/>
      <c r="I464" s="526"/>
      <c r="J464" s="526"/>
      <c r="K464" s="548">
        <f t="shared" si="32"/>
        <v>2</v>
      </c>
      <c r="M464" s="379"/>
    </row>
    <row r="465" spans="3:13" ht="29.25" hidden="1" customHeight="1">
      <c r="C465" s="502" t="str">
        <f>+Resúmen!C871</f>
        <v>01.02.06.06.05</v>
      </c>
      <c r="D465" s="515" t="str">
        <f>+Resúmen!D871</f>
        <v>CODO DE HIERRO DÚCTIL DE 90° (1/4) 2 BRIDAS PN 16 DN 250</v>
      </c>
      <c r="E465" s="503" t="str">
        <f>+Resúmen!E871</f>
        <v>UND</v>
      </c>
      <c r="F465" s="503">
        <v>1</v>
      </c>
      <c r="G465" s="526">
        <v>1</v>
      </c>
      <c r="H465" s="526"/>
      <c r="I465" s="526"/>
      <c r="J465" s="526"/>
      <c r="K465" s="548">
        <f t="shared" si="32"/>
        <v>1</v>
      </c>
      <c r="M465" s="379"/>
    </row>
    <row r="466" spans="3:13" ht="29.25" hidden="1" customHeight="1">
      <c r="C466" s="502" t="str">
        <f>+Resúmen!C872</f>
        <v>01.02.06.06.06</v>
      </c>
      <c r="D466" s="515" t="str">
        <f>+Resúmen!D872</f>
        <v>BRIDA-ENCHUFE ESTANDAR DE HIERRO DÚCTIL PN 16 DN 250</v>
      </c>
      <c r="E466" s="503" t="str">
        <f>+Resúmen!E872</f>
        <v>UND</v>
      </c>
      <c r="F466" s="503">
        <v>1</v>
      </c>
      <c r="G466" s="526">
        <v>1</v>
      </c>
      <c r="H466" s="526"/>
      <c r="I466" s="526"/>
      <c r="J466" s="526"/>
      <c r="K466" s="548">
        <f t="shared" si="32"/>
        <v>1</v>
      </c>
      <c r="M466" s="379"/>
    </row>
    <row r="467" spans="3:13" ht="29.25" hidden="1" customHeight="1">
      <c r="C467" s="502" t="str">
        <f>+Resúmen!C873</f>
        <v>01.02.06.06.07</v>
      </c>
      <c r="D467" s="515" t="str">
        <f>+Resúmen!D873</f>
        <v>BRIDA DE ACERO PARA SOLDAR Y EMPERNAR DN 250</v>
      </c>
      <c r="E467" s="503" t="str">
        <f>+Resúmen!E873</f>
        <v>UND</v>
      </c>
      <c r="F467" s="503">
        <v>1</v>
      </c>
      <c r="G467" s="526">
        <v>9</v>
      </c>
      <c r="H467" s="526"/>
      <c r="I467" s="526"/>
      <c r="J467" s="526"/>
      <c r="K467" s="548">
        <f t="shared" si="32"/>
        <v>9</v>
      </c>
      <c r="M467" s="379"/>
    </row>
    <row r="468" spans="3:13" ht="29.25" hidden="1" customHeight="1">
      <c r="C468" s="502" t="str">
        <f>+Resúmen!C874</f>
        <v>01.02.06.06.08</v>
      </c>
      <c r="D468" s="515" t="str">
        <f>+Resúmen!D874</f>
        <v>BRIDA DE ACERO PARA SOLDAR ANCLAJE DN 250</v>
      </c>
      <c r="E468" s="503" t="str">
        <f>+Resúmen!E874</f>
        <v>UND</v>
      </c>
      <c r="F468" s="503">
        <v>1</v>
      </c>
      <c r="G468" s="526">
        <v>1</v>
      </c>
      <c r="H468" s="526"/>
      <c r="I468" s="526"/>
      <c r="J468" s="526"/>
      <c r="K468" s="548">
        <f t="shared" si="32"/>
        <v>1</v>
      </c>
      <c r="M468" s="379"/>
    </row>
    <row r="469" spans="3:13" ht="29.25" hidden="1" customHeight="1">
      <c r="C469" s="502" t="str">
        <f>+Resúmen!C875</f>
        <v>01.02.06.06.09</v>
      </c>
      <c r="D469" s="515" t="str">
        <f>+Resúmen!D875</f>
        <v>EMPAQUETADURA DE JEBE ENLONADA DN 250</v>
      </c>
      <c r="E469" s="503" t="str">
        <f>+Resúmen!E875</f>
        <v>UND</v>
      </c>
      <c r="F469" s="503">
        <v>1</v>
      </c>
      <c r="G469" s="526">
        <v>8</v>
      </c>
      <c r="H469" s="526"/>
      <c r="I469" s="526"/>
      <c r="J469" s="526"/>
      <c r="K469" s="548">
        <f t="shared" si="32"/>
        <v>8</v>
      </c>
      <c r="M469" s="379"/>
    </row>
    <row r="470" spans="3:13" ht="29.25" hidden="1" customHeight="1">
      <c r="C470" s="502" t="str">
        <f>+Resúmen!C876</f>
        <v>01.02.06.06.10</v>
      </c>
      <c r="D470" s="515" t="str">
        <f>+Resúmen!D876</f>
        <v>PERNO DE ACERO INCLUYE TUERCA PARA UNIR BRIDAS DN 250</v>
      </c>
      <c r="E470" s="503" t="str">
        <f>+Resúmen!E876</f>
        <v>UND</v>
      </c>
      <c r="F470" s="503">
        <v>1</v>
      </c>
      <c r="G470" s="526">
        <f>+G469*12</f>
        <v>96</v>
      </c>
      <c r="H470" s="526"/>
      <c r="I470" s="526"/>
      <c r="J470" s="526"/>
      <c r="K470" s="548">
        <f t="shared" si="32"/>
        <v>96</v>
      </c>
      <c r="M470" s="379"/>
    </row>
    <row r="471" spans="3:13" ht="29.25" hidden="1" customHeight="1">
      <c r="C471" s="502" t="str">
        <f>+Resúmen!C877</f>
        <v>01.02.06.06.11</v>
      </c>
      <c r="D471" s="515" t="str">
        <f>+Resúmen!D877</f>
        <v>SOPORTE METÁLICO TIPO TRÍPODE P/TUBERÍA DN 200 A 250</v>
      </c>
      <c r="E471" s="503" t="str">
        <f>+Resúmen!E877</f>
        <v>UND</v>
      </c>
      <c r="F471" s="503">
        <v>1</v>
      </c>
      <c r="G471" s="526">
        <v>2</v>
      </c>
      <c r="H471" s="526"/>
      <c r="I471" s="526"/>
      <c r="J471" s="526"/>
      <c r="K471" s="548">
        <f t="shared" si="32"/>
        <v>2</v>
      </c>
      <c r="M471" s="379"/>
    </row>
    <row r="472" spans="3:13" ht="29.25" hidden="1" customHeight="1">
      <c r="C472" s="502" t="str">
        <f>+Resúmen!C878</f>
        <v>01.02.06.06.12</v>
      </c>
      <c r="D472" s="515" t="str">
        <f>+Resúmen!D878</f>
        <v>MONTAJE DE INSTALACIONES HIDRAULICAS DEL RESERVORIO R-183</v>
      </c>
      <c r="E472" s="503" t="str">
        <f>+Resúmen!E878</f>
        <v>UND</v>
      </c>
      <c r="F472" s="503">
        <v>1</v>
      </c>
      <c r="G472" s="526">
        <v>1</v>
      </c>
      <c r="H472" s="526"/>
      <c r="I472" s="526"/>
      <c r="J472" s="526"/>
      <c r="K472" s="548">
        <f t="shared" si="32"/>
        <v>1</v>
      </c>
      <c r="M472" s="379"/>
    </row>
    <row r="473" spans="3:13" ht="9.75" customHeight="1" thickBot="1">
      <c r="C473" s="513"/>
      <c r="D473" s="525"/>
      <c r="E473" s="514"/>
      <c r="F473" s="514"/>
      <c r="G473" s="549"/>
      <c r="H473" s="549"/>
      <c r="I473" s="549"/>
      <c r="J473" s="549"/>
      <c r="K473" s="550"/>
    </row>
    <row r="474" spans="3:13" ht="9" customHeight="1"/>
  </sheetData>
  <mergeCells count="1">
    <mergeCell ref="C3:K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61" fitToHeight="3" orientation="portrait" r:id="rId1"/>
  <rowBreaks count="1" manualBreakCount="1">
    <brk id="145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BJ371"/>
  <sheetViews>
    <sheetView showGridLines="0" showZeros="0" view="pageBreakPreview" topLeftCell="C2" zoomScaleNormal="100" zoomScaleSheetLayoutView="100" workbookViewId="0">
      <selection activeCell="K165" sqref="K165"/>
    </sheetView>
  </sheetViews>
  <sheetFormatPr baseColWidth="10" defaultColWidth="5" defaultRowHeight="13.2"/>
  <cols>
    <col min="1" max="1" width="6.109375" style="384" hidden="1" customWidth="1"/>
    <col min="2" max="2" width="0" style="384" hidden="1" customWidth="1"/>
    <col min="3" max="3" width="4" style="384" customWidth="1"/>
    <col min="4" max="4" width="2.44140625" style="384" customWidth="1"/>
    <col min="5" max="5" width="13.88671875" style="491" customWidth="1"/>
    <col min="6" max="7" width="3.6640625" style="491" hidden="1" customWidth="1"/>
    <col min="8" max="8" width="7" style="491" hidden="1" customWidth="1"/>
    <col min="9" max="9" width="25" style="570" customWidth="1"/>
    <col min="10" max="10" width="12" style="570" customWidth="1"/>
    <col min="11" max="11" width="9.6640625" style="493" customWidth="1"/>
    <col min="12" max="12" width="9.6640625" style="491" customWidth="1"/>
    <col min="13" max="14" width="10.6640625" style="491" customWidth="1"/>
    <col min="15" max="15" width="10.6640625" style="495" customWidth="1"/>
    <col min="16" max="17" width="10.6640625" style="491" customWidth="1"/>
    <col min="18" max="18" width="10.6640625" style="496" customWidth="1"/>
    <col min="19" max="20" width="14.88671875" style="496" customWidth="1"/>
    <col min="21" max="22" width="5.44140625" style="491" customWidth="1"/>
    <col min="23" max="25" width="5.33203125" style="384" customWidth="1"/>
    <col min="26" max="26" width="5" style="384" customWidth="1"/>
    <col min="27" max="32" width="7.6640625" style="384" customWidth="1"/>
    <col min="33" max="33" width="8.44140625" style="384" hidden="1" customWidth="1"/>
    <col min="34" max="62" width="5" style="384" hidden="1" customWidth="1"/>
    <col min="63" max="63" width="2" style="384" customWidth="1"/>
    <col min="64" max="265" width="5" style="384"/>
    <col min="266" max="266" width="4" style="384" customWidth="1"/>
    <col min="267" max="267" width="2.44140625" style="384" customWidth="1"/>
    <col min="268" max="268" width="14.88671875" style="384" customWidth="1"/>
    <col min="269" max="270" width="3.6640625" style="384" customWidth="1"/>
    <col min="271" max="271" width="0" style="384" hidden="1" customWidth="1"/>
    <col min="272" max="272" width="17.88671875" style="384" customWidth="1"/>
    <col min="273" max="275" width="9.6640625" style="384" customWidth="1"/>
    <col min="276" max="276" width="6.5546875" style="384" customWidth="1"/>
    <col min="277" max="290" width="5.44140625" style="384" customWidth="1"/>
    <col min="291" max="293" width="5.33203125" style="384" customWidth="1"/>
    <col min="294" max="318" width="5" style="384" customWidth="1"/>
    <col min="319" max="319" width="2" style="384" customWidth="1"/>
    <col min="320" max="521" width="5" style="384"/>
    <col min="522" max="522" width="4" style="384" customWidth="1"/>
    <col min="523" max="523" width="2.44140625" style="384" customWidth="1"/>
    <col min="524" max="524" width="14.88671875" style="384" customWidth="1"/>
    <col min="525" max="526" width="3.6640625" style="384" customWidth="1"/>
    <col min="527" max="527" width="0" style="384" hidden="1" customWidth="1"/>
    <col min="528" max="528" width="17.88671875" style="384" customWidth="1"/>
    <col min="529" max="531" width="9.6640625" style="384" customWidth="1"/>
    <col min="532" max="532" width="6.5546875" style="384" customWidth="1"/>
    <col min="533" max="546" width="5.44140625" style="384" customWidth="1"/>
    <col min="547" max="549" width="5.33203125" style="384" customWidth="1"/>
    <col min="550" max="574" width="5" style="384" customWidth="1"/>
    <col min="575" max="575" width="2" style="384" customWidth="1"/>
    <col min="576" max="777" width="5" style="384"/>
    <col min="778" max="778" width="4" style="384" customWidth="1"/>
    <col min="779" max="779" width="2.44140625" style="384" customWidth="1"/>
    <col min="780" max="780" width="14.88671875" style="384" customWidth="1"/>
    <col min="781" max="782" width="3.6640625" style="384" customWidth="1"/>
    <col min="783" max="783" width="0" style="384" hidden="1" customWidth="1"/>
    <col min="784" max="784" width="17.88671875" style="384" customWidth="1"/>
    <col min="785" max="787" width="9.6640625" style="384" customWidth="1"/>
    <col min="788" max="788" width="6.5546875" style="384" customWidth="1"/>
    <col min="789" max="802" width="5.44140625" style="384" customWidth="1"/>
    <col min="803" max="805" width="5.33203125" style="384" customWidth="1"/>
    <col min="806" max="830" width="5" style="384" customWidth="1"/>
    <col min="831" max="831" width="2" style="384" customWidth="1"/>
    <col min="832" max="1033" width="5" style="384"/>
    <col min="1034" max="1034" width="4" style="384" customWidth="1"/>
    <col min="1035" max="1035" width="2.44140625" style="384" customWidth="1"/>
    <col min="1036" max="1036" width="14.88671875" style="384" customWidth="1"/>
    <col min="1037" max="1038" width="3.6640625" style="384" customWidth="1"/>
    <col min="1039" max="1039" width="0" style="384" hidden="1" customWidth="1"/>
    <col min="1040" max="1040" width="17.88671875" style="384" customWidth="1"/>
    <col min="1041" max="1043" width="9.6640625" style="384" customWidth="1"/>
    <col min="1044" max="1044" width="6.5546875" style="384" customWidth="1"/>
    <col min="1045" max="1058" width="5.44140625" style="384" customWidth="1"/>
    <col min="1059" max="1061" width="5.33203125" style="384" customWidth="1"/>
    <col min="1062" max="1086" width="5" style="384" customWidth="1"/>
    <col min="1087" max="1087" width="2" style="384" customWidth="1"/>
    <col min="1088" max="1289" width="5" style="384"/>
    <col min="1290" max="1290" width="4" style="384" customWidth="1"/>
    <col min="1291" max="1291" width="2.44140625" style="384" customWidth="1"/>
    <col min="1292" max="1292" width="14.88671875" style="384" customWidth="1"/>
    <col min="1293" max="1294" width="3.6640625" style="384" customWidth="1"/>
    <col min="1295" max="1295" width="0" style="384" hidden="1" customWidth="1"/>
    <col min="1296" max="1296" width="17.88671875" style="384" customWidth="1"/>
    <col min="1297" max="1299" width="9.6640625" style="384" customWidth="1"/>
    <col min="1300" max="1300" width="6.5546875" style="384" customWidth="1"/>
    <col min="1301" max="1314" width="5.44140625" style="384" customWidth="1"/>
    <col min="1315" max="1317" width="5.33203125" style="384" customWidth="1"/>
    <col min="1318" max="1342" width="5" style="384" customWidth="1"/>
    <col min="1343" max="1343" width="2" style="384" customWidth="1"/>
    <col min="1344" max="1545" width="5" style="384"/>
    <col min="1546" max="1546" width="4" style="384" customWidth="1"/>
    <col min="1547" max="1547" width="2.44140625" style="384" customWidth="1"/>
    <col min="1548" max="1548" width="14.88671875" style="384" customWidth="1"/>
    <col min="1549" max="1550" width="3.6640625" style="384" customWidth="1"/>
    <col min="1551" max="1551" width="0" style="384" hidden="1" customWidth="1"/>
    <col min="1552" max="1552" width="17.88671875" style="384" customWidth="1"/>
    <col min="1553" max="1555" width="9.6640625" style="384" customWidth="1"/>
    <col min="1556" max="1556" width="6.5546875" style="384" customWidth="1"/>
    <col min="1557" max="1570" width="5.44140625" style="384" customWidth="1"/>
    <col min="1571" max="1573" width="5.33203125" style="384" customWidth="1"/>
    <col min="1574" max="1598" width="5" style="384" customWidth="1"/>
    <col min="1599" max="1599" width="2" style="384" customWidth="1"/>
    <col min="1600" max="1801" width="5" style="384"/>
    <col min="1802" max="1802" width="4" style="384" customWidth="1"/>
    <col min="1803" max="1803" width="2.44140625" style="384" customWidth="1"/>
    <col min="1804" max="1804" width="14.88671875" style="384" customWidth="1"/>
    <col min="1805" max="1806" width="3.6640625" style="384" customWidth="1"/>
    <col min="1807" max="1807" width="0" style="384" hidden="1" customWidth="1"/>
    <col min="1808" max="1808" width="17.88671875" style="384" customWidth="1"/>
    <col min="1809" max="1811" width="9.6640625" style="384" customWidth="1"/>
    <col min="1812" max="1812" width="6.5546875" style="384" customWidth="1"/>
    <col min="1813" max="1826" width="5.44140625" style="384" customWidth="1"/>
    <col min="1827" max="1829" width="5.33203125" style="384" customWidth="1"/>
    <col min="1830" max="1854" width="5" style="384" customWidth="1"/>
    <col min="1855" max="1855" width="2" style="384" customWidth="1"/>
    <col min="1856" max="2057" width="5" style="384"/>
    <col min="2058" max="2058" width="4" style="384" customWidth="1"/>
    <col min="2059" max="2059" width="2.44140625" style="384" customWidth="1"/>
    <col min="2060" max="2060" width="14.88671875" style="384" customWidth="1"/>
    <col min="2061" max="2062" width="3.6640625" style="384" customWidth="1"/>
    <col min="2063" max="2063" width="0" style="384" hidden="1" customWidth="1"/>
    <col min="2064" max="2064" width="17.88671875" style="384" customWidth="1"/>
    <col min="2065" max="2067" width="9.6640625" style="384" customWidth="1"/>
    <col min="2068" max="2068" width="6.5546875" style="384" customWidth="1"/>
    <col min="2069" max="2082" width="5.44140625" style="384" customWidth="1"/>
    <col min="2083" max="2085" width="5.33203125" style="384" customWidth="1"/>
    <col min="2086" max="2110" width="5" style="384" customWidth="1"/>
    <col min="2111" max="2111" width="2" style="384" customWidth="1"/>
    <col min="2112" max="2313" width="5" style="384"/>
    <col min="2314" max="2314" width="4" style="384" customWidth="1"/>
    <col min="2315" max="2315" width="2.44140625" style="384" customWidth="1"/>
    <col min="2316" max="2316" width="14.88671875" style="384" customWidth="1"/>
    <col min="2317" max="2318" width="3.6640625" style="384" customWidth="1"/>
    <col min="2319" max="2319" width="0" style="384" hidden="1" customWidth="1"/>
    <col min="2320" max="2320" width="17.88671875" style="384" customWidth="1"/>
    <col min="2321" max="2323" width="9.6640625" style="384" customWidth="1"/>
    <col min="2324" max="2324" width="6.5546875" style="384" customWidth="1"/>
    <col min="2325" max="2338" width="5.44140625" style="384" customWidth="1"/>
    <col min="2339" max="2341" width="5.33203125" style="384" customWidth="1"/>
    <col min="2342" max="2366" width="5" style="384" customWidth="1"/>
    <col min="2367" max="2367" width="2" style="384" customWidth="1"/>
    <col min="2368" max="2569" width="5" style="384"/>
    <col min="2570" max="2570" width="4" style="384" customWidth="1"/>
    <col min="2571" max="2571" width="2.44140625" style="384" customWidth="1"/>
    <col min="2572" max="2572" width="14.88671875" style="384" customWidth="1"/>
    <col min="2573" max="2574" width="3.6640625" style="384" customWidth="1"/>
    <col min="2575" max="2575" width="0" style="384" hidden="1" customWidth="1"/>
    <col min="2576" max="2576" width="17.88671875" style="384" customWidth="1"/>
    <col min="2577" max="2579" width="9.6640625" style="384" customWidth="1"/>
    <col min="2580" max="2580" width="6.5546875" style="384" customWidth="1"/>
    <col min="2581" max="2594" width="5.44140625" style="384" customWidth="1"/>
    <col min="2595" max="2597" width="5.33203125" style="384" customWidth="1"/>
    <col min="2598" max="2622" width="5" style="384" customWidth="1"/>
    <col min="2623" max="2623" width="2" style="384" customWidth="1"/>
    <col min="2624" max="2825" width="5" style="384"/>
    <col min="2826" max="2826" width="4" style="384" customWidth="1"/>
    <col min="2827" max="2827" width="2.44140625" style="384" customWidth="1"/>
    <col min="2828" max="2828" width="14.88671875" style="384" customWidth="1"/>
    <col min="2829" max="2830" width="3.6640625" style="384" customWidth="1"/>
    <col min="2831" max="2831" width="0" style="384" hidden="1" customWidth="1"/>
    <col min="2832" max="2832" width="17.88671875" style="384" customWidth="1"/>
    <col min="2833" max="2835" width="9.6640625" style="384" customWidth="1"/>
    <col min="2836" max="2836" width="6.5546875" style="384" customWidth="1"/>
    <col min="2837" max="2850" width="5.44140625" style="384" customWidth="1"/>
    <col min="2851" max="2853" width="5.33203125" style="384" customWidth="1"/>
    <col min="2854" max="2878" width="5" style="384" customWidth="1"/>
    <col min="2879" max="2879" width="2" style="384" customWidth="1"/>
    <col min="2880" max="3081" width="5" style="384"/>
    <col min="3082" max="3082" width="4" style="384" customWidth="1"/>
    <col min="3083" max="3083" width="2.44140625" style="384" customWidth="1"/>
    <col min="3084" max="3084" width="14.88671875" style="384" customWidth="1"/>
    <col min="3085" max="3086" width="3.6640625" style="384" customWidth="1"/>
    <col min="3087" max="3087" width="0" style="384" hidden="1" customWidth="1"/>
    <col min="3088" max="3088" width="17.88671875" style="384" customWidth="1"/>
    <col min="3089" max="3091" width="9.6640625" style="384" customWidth="1"/>
    <col min="3092" max="3092" width="6.5546875" style="384" customWidth="1"/>
    <col min="3093" max="3106" width="5.44140625" style="384" customWidth="1"/>
    <col min="3107" max="3109" width="5.33203125" style="384" customWidth="1"/>
    <col min="3110" max="3134" width="5" style="384" customWidth="1"/>
    <col min="3135" max="3135" width="2" style="384" customWidth="1"/>
    <col min="3136" max="3337" width="5" style="384"/>
    <col min="3338" max="3338" width="4" style="384" customWidth="1"/>
    <col min="3339" max="3339" width="2.44140625" style="384" customWidth="1"/>
    <col min="3340" max="3340" width="14.88671875" style="384" customWidth="1"/>
    <col min="3341" max="3342" width="3.6640625" style="384" customWidth="1"/>
    <col min="3343" max="3343" width="0" style="384" hidden="1" customWidth="1"/>
    <col min="3344" max="3344" width="17.88671875" style="384" customWidth="1"/>
    <col min="3345" max="3347" width="9.6640625" style="384" customWidth="1"/>
    <col min="3348" max="3348" width="6.5546875" style="384" customWidth="1"/>
    <col min="3349" max="3362" width="5.44140625" style="384" customWidth="1"/>
    <col min="3363" max="3365" width="5.33203125" style="384" customWidth="1"/>
    <col min="3366" max="3390" width="5" style="384" customWidth="1"/>
    <col min="3391" max="3391" width="2" style="384" customWidth="1"/>
    <col min="3392" max="3593" width="5" style="384"/>
    <col min="3594" max="3594" width="4" style="384" customWidth="1"/>
    <col min="3595" max="3595" width="2.44140625" style="384" customWidth="1"/>
    <col min="3596" max="3596" width="14.88671875" style="384" customWidth="1"/>
    <col min="3597" max="3598" width="3.6640625" style="384" customWidth="1"/>
    <col min="3599" max="3599" width="0" style="384" hidden="1" customWidth="1"/>
    <col min="3600" max="3600" width="17.88671875" style="384" customWidth="1"/>
    <col min="3601" max="3603" width="9.6640625" style="384" customWidth="1"/>
    <col min="3604" max="3604" width="6.5546875" style="384" customWidth="1"/>
    <col min="3605" max="3618" width="5.44140625" style="384" customWidth="1"/>
    <col min="3619" max="3621" width="5.33203125" style="384" customWidth="1"/>
    <col min="3622" max="3646" width="5" style="384" customWidth="1"/>
    <col min="3647" max="3647" width="2" style="384" customWidth="1"/>
    <col min="3648" max="3849" width="5" style="384"/>
    <col min="3850" max="3850" width="4" style="384" customWidth="1"/>
    <col min="3851" max="3851" width="2.44140625" style="384" customWidth="1"/>
    <col min="3852" max="3852" width="14.88671875" style="384" customWidth="1"/>
    <col min="3853" max="3854" width="3.6640625" style="384" customWidth="1"/>
    <col min="3855" max="3855" width="0" style="384" hidden="1" customWidth="1"/>
    <col min="3856" max="3856" width="17.88671875" style="384" customWidth="1"/>
    <col min="3857" max="3859" width="9.6640625" style="384" customWidth="1"/>
    <col min="3860" max="3860" width="6.5546875" style="384" customWidth="1"/>
    <col min="3861" max="3874" width="5.44140625" style="384" customWidth="1"/>
    <col min="3875" max="3877" width="5.33203125" style="384" customWidth="1"/>
    <col min="3878" max="3902" width="5" style="384" customWidth="1"/>
    <col min="3903" max="3903" width="2" style="384" customWidth="1"/>
    <col min="3904" max="4105" width="5" style="384"/>
    <col min="4106" max="4106" width="4" style="384" customWidth="1"/>
    <col min="4107" max="4107" width="2.44140625" style="384" customWidth="1"/>
    <col min="4108" max="4108" width="14.88671875" style="384" customWidth="1"/>
    <col min="4109" max="4110" width="3.6640625" style="384" customWidth="1"/>
    <col min="4111" max="4111" width="0" style="384" hidden="1" customWidth="1"/>
    <col min="4112" max="4112" width="17.88671875" style="384" customWidth="1"/>
    <col min="4113" max="4115" width="9.6640625" style="384" customWidth="1"/>
    <col min="4116" max="4116" width="6.5546875" style="384" customWidth="1"/>
    <col min="4117" max="4130" width="5.44140625" style="384" customWidth="1"/>
    <col min="4131" max="4133" width="5.33203125" style="384" customWidth="1"/>
    <col min="4134" max="4158" width="5" style="384" customWidth="1"/>
    <col min="4159" max="4159" width="2" style="384" customWidth="1"/>
    <col min="4160" max="4361" width="5" style="384"/>
    <col min="4362" max="4362" width="4" style="384" customWidth="1"/>
    <col min="4363" max="4363" width="2.44140625" style="384" customWidth="1"/>
    <col min="4364" max="4364" width="14.88671875" style="384" customWidth="1"/>
    <col min="4365" max="4366" width="3.6640625" style="384" customWidth="1"/>
    <col min="4367" max="4367" width="0" style="384" hidden="1" customWidth="1"/>
    <col min="4368" max="4368" width="17.88671875" style="384" customWidth="1"/>
    <col min="4369" max="4371" width="9.6640625" style="384" customWidth="1"/>
    <col min="4372" max="4372" width="6.5546875" style="384" customWidth="1"/>
    <col min="4373" max="4386" width="5.44140625" style="384" customWidth="1"/>
    <col min="4387" max="4389" width="5.33203125" style="384" customWidth="1"/>
    <col min="4390" max="4414" width="5" style="384" customWidth="1"/>
    <col min="4415" max="4415" width="2" style="384" customWidth="1"/>
    <col min="4416" max="4617" width="5" style="384"/>
    <col min="4618" max="4618" width="4" style="384" customWidth="1"/>
    <col min="4619" max="4619" width="2.44140625" style="384" customWidth="1"/>
    <col min="4620" max="4620" width="14.88671875" style="384" customWidth="1"/>
    <col min="4621" max="4622" width="3.6640625" style="384" customWidth="1"/>
    <col min="4623" max="4623" width="0" style="384" hidden="1" customWidth="1"/>
    <col min="4624" max="4624" width="17.88671875" style="384" customWidth="1"/>
    <col min="4625" max="4627" width="9.6640625" style="384" customWidth="1"/>
    <col min="4628" max="4628" width="6.5546875" style="384" customWidth="1"/>
    <col min="4629" max="4642" width="5.44140625" style="384" customWidth="1"/>
    <col min="4643" max="4645" width="5.33203125" style="384" customWidth="1"/>
    <col min="4646" max="4670" width="5" style="384" customWidth="1"/>
    <col min="4671" max="4671" width="2" style="384" customWidth="1"/>
    <col min="4672" max="4873" width="5" style="384"/>
    <col min="4874" max="4874" width="4" style="384" customWidth="1"/>
    <col min="4875" max="4875" width="2.44140625" style="384" customWidth="1"/>
    <col min="4876" max="4876" width="14.88671875" style="384" customWidth="1"/>
    <col min="4877" max="4878" width="3.6640625" style="384" customWidth="1"/>
    <col min="4879" max="4879" width="0" style="384" hidden="1" customWidth="1"/>
    <col min="4880" max="4880" width="17.88671875" style="384" customWidth="1"/>
    <col min="4881" max="4883" width="9.6640625" style="384" customWidth="1"/>
    <col min="4884" max="4884" width="6.5546875" style="384" customWidth="1"/>
    <col min="4885" max="4898" width="5.44140625" style="384" customWidth="1"/>
    <col min="4899" max="4901" width="5.33203125" style="384" customWidth="1"/>
    <col min="4902" max="4926" width="5" style="384" customWidth="1"/>
    <col min="4927" max="4927" width="2" style="384" customWidth="1"/>
    <col min="4928" max="5129" width="5" style="384"/>
    <col min="5130" max="5130" width="4" style="384" customWidth="1"/>
    <col min="5131" max="5131" width="2.44140625" style="384" customWidth="1"/>
    <col min="5132" max="5132" width="14.88671875" style="384" customWidth="1"/>
    <col min="5133" max="5134" width="3.6640625" style="384" customWidth="1"/>
    <col min="5135" max="5135" width="0" style="384" hidden="1" customWidth="1"/>
    <col min="5136" max="5136" width="17.88671875" style="384" customWidth="1"/>
    <col min="5137" max="5139" width="9.6640625" style="384" customWidth="1"/>
    <col min="5140" max="5140" width="6.5546875" style="384" customWidth="1"/>
    <col min="5141" max="5154" width="5.44140625" style="384" customWidth="1"/>
    <col min="5155" max="5157" width="5.33203125" style="384" customWidth="1"/>
    <col min="5158" max="5182" width="5" style="384" customWidth="1"/>
    <col min="5183" max="5183" width="2" style="384" customWidth="1"/>
    <col min="5184" max="5385" width="5" style="384"/>
    <col min="5386" max="5386" width="4" style="384" customWidth="1"/>
    <col min="5387" max="5387" width="2.44140625" style="384" customWidth="1"/>
    <col min="5388" max="5388" width="14.88671875" style="384" customWidth="1"/>
    <col min="5389" max="5390" width="3.6640625" style="384" customWidth="1"/>
    <col min="5391" max="5391" width="0" style="384" hidden="1" customWidth="1"/>
    <col min="5392" max="5392" width="17.88671875" style="384" customWidth="1"/>
    <col min="5393" max="5395" width="9.6640625" style="384" customWidth="1"/>
    <col min="5396" max="5396" width="6.5546875" style="384" customWidth="1"/>
    <col min="5397" max="5410" width="5.44140625" style="384" customWidth="1"/>
    <col min="5411" max="5413" width="5.33203125" style="384" customWidth="1"/>
    <col min="5414" max="5438" width="5" style="384" customWidth="1"/>
    <col min="5439" max="5439" width="2" style="384" customWidth="1"/>
    <col min="5440" max="5641" width="5" style="384"/>
    <col min="5642" max="5642" width="4" style="384" customWidth="1"/>
    <col min="5643" max="5643" width="2.44140625" style="384" customWidth="1"/>
    <col min="5644" max="5644" width="14.88671875" style="384" customWidth="1"/>
    <col min="5645" max="5646" width="3.6640625" style="384" customWidth="1"/>
    <col min="5647" max="5647" width="0" style="384" hidden="1" customWidth="1"/>
    <col min="5648" max="5648" width="17.88671875" style="384" customWidth="1"/>
    <col min="5649" max="5651" width="9.6640625" style="384" customWidth="1"/>
    <col min="5652" max="5652" width="6.5546875" style="384" customWidth="1"/>
    <col min="5653" max="5666" width="5.44140625" style="384" customWidth="1"/>
    <col min="5667" max="5669" width="5.33203125" style="384" customWidth="1"/>
    <col min="5670" max="5694" width="5" style="384" customWidth="1"/>
    <col min="5695" max="5695" width="2" style="384" customWidth="1"/>
    <col min="5696" max="5897" width="5" style="384"/>
    <col min="5898" max="5898" width="4" style="384" customWidth="1"/>
    <col min="5899" max="5899" width="2.44140625" style="384" customWidth="1"/>
    <col min="5900" max="5900" width="14.88671875" style="384" customWidth="1"/>
    <col min="5901" max="5902" width="3.6640625" style="384" customWidth="1"/>
    <col min="5903" max="5903" width="0" style="384" hidden="1" customWidth="1"/>
    <col min="5904" max="5904" width="17.88671875" style="384" customWidth="1"/>
    <col min="5905" max="5907" width="9.6640625" style="384" customWidth="1"/>
    <col min="5908" max="5908" width="6.5546875" style="384" customWidth="1"/>
    <col min="5909" max="5922" width="5.44140625" style="384" customWidth="1"/>
    <col min="5923" max="5925" width="5.33203125" style="384" customWidth="1"/>
    <col min="5926" max="5950" width="5" style="384" customWidth="1"/>
    <col min="5951" max="5951" width="2" style="384" customWidth="1"/>
    <col min="5952" max="6153" width="5" style="384"/>
    <col min="6154" max="6154" width="4" style="384" customWidth="1"/>
    <col min="6155" max="6155" width="2.44140625" style="384" customWidth="1"/>
    <col min="6156" max="6156" width="14.88671875" style="384" customWidth="1"/>
    <col min="6157" max="6158" width="3.6640625" style="384" customWidth="1"/>
    <col min="6159" max="6159" width="0" style="384" hidden="1" customWidth="1"/>
    <col min="6160" max="6160" width="17.88671875" style="384" customWidth="1"/>
    <col min="6161" max="6163" width="9.6640625" style="384" customWidth="1"/>
    <col min="6164" max="6164" width="6.5546875" style="384" customWidth="1"/>
    <col min="6165" max="6178" width="5.44140625" style="384" customWidth="1"/>
    <col min="6179" max="6181" width="5.33203125" style="384" customWidth="1"/>
    <col min="6182" max="6206" width="5" style="384" customWidth="1"/>
    <col min="6207" max="6207" width="2" style="384" customWidth="1"/>
    <col min="6208" max="6409" width="5" style="384"/>
    <col min="6410" max="6410" width="4" style="384" customWidth="1"/>
    <col min="6411" max="6411" width="2.44140625" style="384" customWidth="1"/>
    <col min="6412" max="6412" width="14.88671875" style="384" customWidth="1"/>
    <col min="6413" max="6414" width="3.6640625" style="384" customWidth="1"/>
    <col min="6415" max="6415" width="0" style="384" hidden="1" customWidth="1"/>
    <col min="6416" max="6416" width="17.88671875" style="384" customWidth="1"/>
    <col min="6417" max="6419" width="9.6640625" style="384" customWidth="1"/>
    <col min="6420" max="6420" width="6.5546875" style="384" customWidth="1"/>
    <col min="6421" max="6434" width="5.44140625" style="384" customWidth="1"/>
    <col min="6435" max="6437" width="5.33203125" style="384" customWidth="1"/>
    <col min="6438" max="6462" width="5" style="384" customWidth="1"/>
    <col min="6463" max="6463" width="2" style="384" customWidth="1"/>
    <col min="6464" max="6665" width="5" style="384"/>
    <col min="6666" max="6666" width="4" style="384" customWidth="1"/>
    <col min="6667" max="6667" width="2.44140625" style="384" customWidth="1"/>
    <col min="6668" max="6668" width="14.88671875" style="384" customWidth="1"/>
    <col min="6669" max="6670" width="3.6640625" style="384" customWidth="1"/>
    <col min="6671" max="6671" width="0" style="384" hidden="1" customWidth="1"/>
    <col min="6672" max="6672" width="17.88671875" style="384" customWidth="1"/>
    <col min="6673" max="6675" width="9.6640625" style="384" customWidth="1"/>
    <col min="6676" max="6676" width="6.5546875" style="384" customWidth="1"/>
    <col min="6677" max="6690" width="5.44140625" style="384" customWidth="1"/>
    <col min="6691" max="6693" width="5.33203125" style="384" customWidth="1"/>
    <col min="6694" max="6718" width="5" style="384" customWidth="1"/>
    <col min="6719" max="6719" width="2" style="384" customWidth="1"/>
    <col min="6720" max="6921" width="5" style="384"/>
    <col min="6922" max="6922" width="4" style="384" customWidth="1"/>
    <col min="6923" max="6923" width="2.44140625" style="384" customWidth="1"/>
    <col min="6924" max="6924" width="14.88671875" style="384" customWidth="1"/>
    <col min="6925" max="6926" width="3.6640625" style="384" customWidth="1"/>
    <col min="6927" max="6927" width="0" style="384" hidden="1" customWidth="1"/>
    <col min="6928" max="6928" width="17.88671875" style="384" customWidth="1"/>
    <col min="6929" max="6931" width="9.6640625" style="384" customWidth="1"/>
    <col min="6932" max="6932" width="6.5546875" style="384" customWidth="1"/>
    <col min="6933" max="6946" width="5.44140625" style="384" customWidth="1"/>
    <col min="6947" max="6949" width="5.33203125" style="384" customWidth="1"/>
    <col min="6950" max="6974" width="5" style="384" customWidth="1"/>
    <col min="6975" max="6975" width="2" style="384" customWidth="1"/>
    <col min="6976" max="7177" width="5" style="384"/>
    <col min="7178" max="7178" width="4" style="384" customWidth="1"/>
    <col min="7179" max="7179" width="2.44140625" style="384" customWidth="1"/>
    <col min="7180" max="7180" width="14.88671875" style="384" customWidth="1"/>
    <col min="7181" max="7182" width="3.6640625" style="384" customWidth="1"/>
    <col min="7183" max="7183" width="0" style="384" hidden="1" customWidth="1"/>
    <col min="7184" max="7184" width="17.88671875" style="384" customWidth="1"/>
    <col min="7185" max="7187" width="9.6640625" style="384" customWidth="1"/>
    <col min="7188" max="7188" width="6.5546875" style="384" customWidth="1"/>
    <col min="7189" max="7202" width="5.44140625" style="384" customWidth="1"/>
    <col min="7203" max="7205" width="5.33203125" style="384" customWidth="1"/>
    <col min="7206" max="7230" width="5" style="384" customWidth="1"/>
    <col min="7231" max="7231" width="2" style="384" customWidth="1"/>
    <col min="7232" max="7433" width="5" style="384"/>
    <col min="7434" max="7434" width="4" style="384" customWidth="1"/>
    <col min="7435" max="7435" width="2.44140625" style="384" customWidth="1"/>
    <col min="7436" max="7436" width="14.88671875" style="384" customWidth="1"/>
    <col min="7437" max="7438" width="3.6640625" style="384" customWidth="1"/>
    <col min="7439" max="7439" width="0" style="384" hidden="1" customWidth="1"/>
    <col min="7440" max="7440" width="17.88671875" style="384" customWidth="1"/>
    <col min="7441" max="7443" width="9.6640625" style="384" customWidth="1"/>
    <col min="7444" max="7444" width="6.5546875" style="384" customWidth="1"/>
    <col min="7445" max="7458" width="5.44140625" style="384" customWidth="1"/>
    <col min="7459" max="7461" width="5.33203125" style="384" customWidth="1"/>
    <col min="7462" max="7486" width="5" style="384" customWidth="1"/>
    <col min="7487" max="7487" width="2" style="384" customWidth="1"/>
    <col min="7488" max="7689" width="5" style="384"/>
    <col min="7690" max="7690" width="4" style="384" customWidth="1"/>
    <col min="7691" max="7691" width="2.44140625" style="384" customWidth="1"/>
    <col min="7692" max="7692" width="14.88671875" style="384" customWidth="1"/>
    <col min="7693" max="7694" width="3.6640625" style="384" customWidth="1"/>
    <col min="7695" max="7695" width="0" style="384" hidden="1" customWidth="1"/>
    <col min="7696" max="7696" width="17.88671875" style="384" customWidth="1"/>
    <col min="7697" max="7699" width="9.6640625" style="384" customWidth="1"/>
    <col min="7700" max="7700" width="6.5546875" style="384" customWidth="1"/>
    <col min="7701" max="7714" width="5.44140625" style="384" customWidth="1"/>
    <col min="7715" max="7717" width="5.33203125" style="384" customWidth="1"/>
    <col min="7718" max="7742" width="5" style="384" customWidth="1"/>
    <col min="7743" max="7743" width="2" style="384" customWidth="1"/>
    <col min="7744" max="7945" width="5" style="384"/>
    <col min="7946" max="7946" width="4" style="384" customWidth="1"/>
    <col min="7947" max="7947" width="2.44140625" style="384" customWidth="1"/>
    <col min="7948" max="7948" width="14.88671875" style="384" customWidth="1"/>
    <col min="7949" max="7950" width="3.6640625" style="384" customWidth="1"/>
    <col min="7951" max="7951" width="0" style="384" hidden="1" customWidth="1"/>
    <col min="7952" max="7952" width="17.88671875" style="384" customWidth="1"/>
    <col min="7953" max="7955" width="9.6640625" style="384" customWidth="1"/>
    <col min="7956" max="7956" width="6.5546875" style="384" customWidth="1"/>
    <col min="7957" max="7970" width="5.44140625" style="384" customWidth="1"/>
    <col min="7971" max="7973" width="5.33203125" style="384" customWidth="1"/>
    <col min="7974" max="7998" width="5" style="384" customWidth="1"/>
    <col min="7999" max="7999" width="2" style="384" customWidth="1"/>
    <col min="8000" max="8201" width="5" style="384"/>
    <col min="8202" max="8202" width="4" style="384" customWidth="1"/>
    <col min="8203" max="8203" width="2.44140625" style="384" customWidth="1"/>
    <col min="8204" max="8204" width="14.88671875" style="384" customWidth="1"/>
    <col min="8205" max="8206" width="3.6640625" style="384" customWidth="1"/>
    <col min="8207" max="8207" width="0" style="384" hidden="1" customWidth="1"/>
    <col min="8208" max="8208" width="17.88671875" style="384" customWidth="1"/>
    <col min="8209" max="8211" width="9.6640625" style="384" customWidth="1"/>
    <col min="8212" max="8212" width="6.5546875" style="384" customWidth="1"/>
    <col min="8213" max="8226" width="5.44140625" style="384" customWidth="1"/>
    <col min="8227" max="8229" width="5.33203125" style="384" customWidth="1"/>
    <col min="8230" max="8254" width="5" style="384" customWidth="1"/>
    <col min="8255" max="8255" width="2" style="384" customWidth="1"/>
    <col min="8256" max="8457" width="5" style="384"/>
    <col min="8458" max="8458" width="4" style="384" customWidth="1"/>
    <col min="8459" max="8459" width="2.44140625" style="384" customWidth="1"/>
    <col min="8460" max="8460" width="14.88671875" style="384" customWidth="1"/>
    <col min="8461" max="8462" width="3.6640625" style="384" customWidth="1"/>
    <col min="8463" max="8463" width="0" style="384" hidden="1" customWidth="1"/>
    <col min="8464" max="8464" width="17.88671875" style="384" customWidth="1"/>
    <col min="8465" max="8467" width="9.6640625" style="384" customWidth="1"/>
    <col min="8468" max="8468" width="6.5546875" style="384" customWidth="1"/>
    <col min="8469" max="8482" width="5.44140625" style="384" customWidth="1"/>
    <col min="8483" max="8485" width="5.33203125" style="384" customWidth="1"/>
    <col min="8486" max="8510" width="5" style="384" customWidth="1"/>
    <col min="8511" max="8511" width="2" style="384" customWidth="1"/>
    <col min="8512" max="8713" width="5" style="384"/>
    <col min="8714" max="8714" width="4" style="384" customWidth="1"/>
    <col min="8715" max="8715" width="2.44140625" style="384" customWidth="1"/>
    <col min="8716" max="8716" width="14.88671875" style="384" customWidth="1"/>
    <col min="8717" max="8718" width="3.6640625" style="384" customWidth="1"/>
    <col min="8719" max="8719" width="0" style="384" hidden="1" customWidth="1"/>
    <col min="8720" max="8720" width="17.88671875" style="384" customWidth="1"/>
    <col min="8721" max="8723" width="9.6640625" style="384" customWidth="1"/>
    <col min="8724" max="8724" width="6.5546875" style="384" customWidth="1"/>
    <col min="8725" max="8738" width="5.44140625" style="384" customWidth="1"/>
    <col min="8739" max="8741" width="5.33203125" style="384" customWidth="1"/>
    <col min="8742" max="8766" width="5" style="384" customWidth="1"/>
    <col min="8767" max="8767" width="2" style="384" customWidth="1"/>
    <col min="8768" max="8969" width="5" style="384"/>
    <col min="8970" max="8970" width="4" style="384" customWidth="1"/>
    <col min="8971" max="8971" width="2.44140625" style="384" customWidth="1"/>
    <col min="8972" max="8972" width="14.88671875" style="384" customWidth="1"/>
    <col min="8973" max="8974" width="3.6640625" style="384" customWidth="1"/>
    <col min="8975" max="8975" width="0" style="384" hidden="1" customWidth="1"/>
    <col min="8976" max="8976" width="17.88671875" style="384" customWidth="1"/>
    <col min="8977" max="8979" width="9.6640625" style="384" customWidth="1"/>
    <col min="8980" max="8980" width="6.5546875" style="384" customWidth="1"/>
    <col min="8981" max="8994" width="5.44140625" style="384" customWidth="1"/>
    <col min="8995" max="8997" width="5.33203125" style="384" customWidth="1"/>
    <col min="8998" max="9022" width="5" style="384" customWidth="1"/>
    <col min="9023" max="9023" width="2" style="384" customWidth="1"/>
    <col min="9024" max="9225" width="5" style="384"/>
    <col min="9226" max="9226" width="4" style="384" customWidth="1"/>
    <col min="9227" max="9227" width="2.44140625" style="384" customWidth="1"/>
    <col min="9228" max="9228" width="14.88671875" style="384" customWidth="1"/>
    <col min="9229" max="9230" width="3.6640625" style="384" customWidth="1"/>
    <col min="9231" max="9231" width="0" style="384" hidden="1" customWidth="1"/>
    <col min="9232" max="9232" width="17.88671875" style="384" customWidth="1"/>
    <col min="9233" max="9235" width="9.6640625" style="384" customWidth="1"/>
    <col min="9236" max="9236" width="6.5546875" style="384" customWidth="1"/>
    <col min="9237" max="9250" width="5.44140625" style="384" customWidth="1"/>
    <col min="9251" max="9253" width="5.33203125" style="384" customWidth="1"/>
    <col min="9254" max="9278" width="5" style="384" customWidth="1"/>
    <col min="9279" max="9279" width="2" style="384" customWidth="1"/>
    <col min="9280" max="9481" width="5" style="384"/>
    <col min="9482" max="9482" width="4" style="384" customWidth="1"/>
    <col min="9483" max="9483" width="2.44140625" style="384" customWidth="1"/>
    <col min="9484" max="9484" width="14.88671875" style="384" customWidth="1"/>
    <col min="9485" max="9486" width="3.6640625" style="384" customWidth="1"/>
    <col min="9487" max="9487" width="0" style="384" hidden="1" customWidth="1"/>
    <col min="9488" max="9488" width="17.88671875" style="384" customWidth="1"/>
    <col min="9489" max="9491" width="9.6640625" style="384" customWidth="1"/>
    <col min="9492" max="9492" width="6.5546875" style="384" customWidth="1"/>
    <col min="9493" max="9506" width="5.44140625" style="384" customWidth="1"/>
    <col min="9507" max="9509" width="5.33203125" style="384" customWidth="1"/>
    <col min="9510" max="9534" width="5" style="384" customWidth="1"/>
    <col min="9535" max="9535" width="2" style="384" customWidth="1"/>
    <col min="9536" max="9737" width="5" style="384"/>
    <col min="9738" max="9738" width="4" style="384" customWidth="1"/>
    <col min="9739" max="9739" width="2.44140625" style="384" customWidth="1"/>
    <col min="9740" max="9740" width="14.88671875" style="384" customWidth="1"/>
    <col min="9741" max="9742" width="3.6640625" style="384" customWidth="1"/>
    <col min="9743" max="9743" width="0" style="384" hidden="1" customWidth="1"/>
    <col min="9744" max="9744" width="17.88671875" style="384" customWidth="1"/>
    <col min="9745" max="9747" width="9.6640625" style="384" customWidth="1"/>
    <col min="9748" max="9748" width="6.5546875" style="384" customWidth="1"/>
    <col min="9749" max="9762" width="5.44140625" style="384" customWidth="1"/>
    <col min="9763" max="9765" width="5.33203125" style="384" customWidth="1"/>
    <col min="9766" max="9790" width="5" style="384" customWidth="1"/>
    <col min="9791" max="9791" width="2" style="384" customWidth="1"/>
    <col min="9792" max="9993" width="5" style="384"/>
    <col min="9994" max="9994" width="4" style="384" customWidth="1"/>
    <col min="9995" max="9995" width="2.44140625" style="384" customWidth="1"/>
    <col min="9996" max="9996" width="14.88671875" style="384" customWidth="1"/>
    <col min="9997" max="9998" width="3.6640625" style="384" customWidth="1"/>
    <col min="9999" max="9999" width="0" style="384" hidden="1" customWidth="1"/>
    <col min="10000" max="10000" width="17.88671875" style="384" customWidth="1"/>
    <col min="10001" max="10003" width="9.6640625" style="384" customWidth="1"/>
    <col min="10004" max="10004" width="6.5546875" style="384" customWidth="1"/>
    <col min="10005" max="10018" width="5.44140625" style="384" customWidth="1"/>
    <col min="10019" max="10021" width="5.33203125" style="384" customWidth="1"/>
    <col min="10022" max="10046" width="5" style="384" customWidth="1"/>
    <col min="10047" max="10047" width="2" style="384" customWidth="1"/>
    <col min="10048" max="10249" width="5" style="384"/>
    <col min="10250" max="10250" width="4" style="384" customWidth="1"/>
    <col min="10251" max="10251" width="2.44140625" style="384" customWidth="1"/>
    <col min="10252" max="10252" width="14.88671875" style="384" customWidth="1"/>
    <col min="10253" max="10254" width="3.6640625" style="384" customWidth="1"/>
    <col min="10255" max="10255" width="0" style="384" hidden="1" customWidth="1"/>
    <col min="10256" max="10256" width="17.88671875" style="384" customWidth="1"/>
    <col min="10257" max="10259" width="9.6640625" style="384" customWidth="1"/>
    <col min="10260" max="10260" width="6.5546875" style="384" customWidth="1"/>
    <col min="10261" max="10274" width="5.44140625" style="384" customWidth="1"/>
    <col min="10275" max="10277" width="5.33203125" style="384" customWidth="1"/>
    <col min="10278" max="10302" width="5" style="384" customWidth="1"/>
    <col min="10303" max="10303" width="2" style="384" customWidth="1"/>
    <col min="10304" max="10505" width="5" style="384"/>
    <col min="10506" max="10506" width="4" style="384" customWidth="1"/>
    <col min="10507" max="10507" width="2.44140625" style="384" customWidth="1"/>
    <col min="10508" max="10508" width="14.88671875" style="384" customWidth="1"/>
    <col min="10509" max="10510" width="3.6640625" style="384" customWidth="1"/>
    <col min="10511" max="10511" width="0" style="384" hidden="1" customWidth="1"/>
    <col min="10512" max="10512" width="17.88671875" style="384" customWidth="1"/>
    <col min="10513" max="10515" width="9.6640625" style="384" customWidth="1"/>
    <col min="10516" max="10516" width="6.5546875" style="384" customWidth="1"/>
    <col min="10517" max="10530" width="5.44140625" style="384" customWidth="1"/>
    <col min="10531" max="10533" width="5.33203125" style="384" customWidth="1"/>
    <col min="10534" max="10558" width="5" style="384" customWidth="1"/>
    <col min="10559" max="10559" width="2" style="384" customWidth="1"/>
    <col min="10560" max="10761" width="5" style="384"/>
    <col min="10762" max="10762" width="4" style="384" customWidth="1"/>
    <col min="10763" max="10763" width="2.44140625" style="384" customWidth="1"/>
    <col min="10764" max="10764" width="14.88671875" style="384" customWidth="1"/>
    <col min="10765" max="10766" width="3.6640625" style="384" customWidth="1"/>
    <col min="10767" max="10767" width="0" style="384" hidden="1" customWidth="1"/>
    <col min="10768" max="10768" width="17.88671875" style="384" customWidth="1"/>
    <col min="10769" max="10771" width="9.6640625" style="384" customWidth="1"/>
    <col min="10772" max="10772" width="6.5546875" style="384" customWidth="1"/>
    <col min="10773" max="10786" width="5.44140625" style="384" customWidth="1"/>
    <col min="10787" max="10789" width="5.33203125" style="384" customWidth="1"/>
    <col min="10790" max="10814" width="5" style="384" customWidth="1"/>
    <col min="10815" max="10815" width="2" style="384" customWidth="1"/>
    <col min="10816" max="11017" width="5" style="384"/>
    <col min="11018" max="11018" width="4" style="384" customWidth="1"/>
    <col min="11019" max="11019" width="2.44140625" style="384" customWidth="1"/>
    <col min="11020" max="11020" width="14.88671875" style="384" customWidth="1"/>
    <col min="11021" max="11022" width="3.6640625" style="384" customWidth="1"/>
    <col min="11023" max="11023" width="0" style="384" hidden="1" customWidth="1"/>
    <col min="11024" max="11024" width="17.88671875" style="384" customWidth="1"/>
    <col min="11025" max="11027" width="9.6640625" style="384" customWidth="1"/>
    <col min="11028" max="11028" width="6.5546875" style="384" customWidth="1"/>
    <col min="11029" max="11042" width="5.44140625" style="384" customWidth="1"/>
    <col min="11043" max="11045" width="5.33203125" style="384" customWidth="1"/>
    <col min="11046" max="11070" width="5" style="384" customWidth="1"/>
    <col min="11071" max="11071" width="2" style="384" customWidth="1"/>
    <col min="11072" max="11273" width="5" style="384"/>
    <col min="11274" max="11274" width="4" style="384" customWidth="1"/>
    <col min="11275" max="11275" width="2.44140625" style="384" customWidth="1"/>
    <col min="11276" max="11276" width="14.88671875" style="384" customWidth="1"/>
    <col min="11277" max="11278" width="3.6640625" style="384" customWidth="1"/>
    <col min="11279" max="11279" width="0" style="384" hidden="1" customWidth="1"/>
    <col min="11280" max="11280" width="17.88671875" style="384" customWidth="1"/>
    <col min="11281" max="11283" width="9.6640625" style="384" customWidth="1"/>
    <col min="11284" max="11284" width="6.5546875" style="384" customWidth="1"/>
    <col min="11285" max="11298" width="5.44140625" style="384" customWidth="1"/>
    <col min="11299" max="11301" width="5.33203125" style="384" customWidth="1"/>
    <col min="11302" max="11326" width="5" style="384" customWidth="1"/>
    <col min="11327" max="11327" width="2" style="384" customWidth="1"/>
    <col min="11328" max="11529" width="5" style="384"/>
    <col min="11530" max="11530" width="4" style="384" customWidth="1"/>
    <col min="11531" max="11531" width="2.44140625" style="384" customWidth="1"/>
    <col min="11532" max="11532" width="14.88671875" style="384" customWidth="1"/>
    <col min="11533" max="11534" width="3.6640625" style="384" customWidth="1"/>
    <col min="11535" max="11535" width="0" style="384" hidden="1" customWidth="1"/>
    <col min="11536" max="11536" width="17.88671875" style="384" customWidth="1"/>
    <col min="11537" max="11539" width="9.6640625" style="384" customWidth="1"/>
    <col min="11540" max="11540" width="6.5546875" style="384" customWidth="1"/>
    <col min="11541" max="11554" width="5.44140625" style="384" customWidth="1"/>
    <col min="11555" max="11557" width="5.33203125" style="384" customWidth="1"/>
    <col min="11558" max="11582" width="5" style="384" customWidth="1"/>
    <col min="11583" max="11583" width="2" style="384" customWidth="1"/>
    <col min="11584" max="11785" width="5" style="384"/>
    <col min="11786" max="11786" width="4" style="384" customWidth="1"/>
    <col min="11787" max="11787" width="2.44140625" style="384" customWidth="1"/>
    <col min="11788" max="11788" width="14.88671875" style="384" customWidth="1"/>
    <col min="11789" max="11790" width="3.6640625" style="384" customWidth="1"/>
    <col min="11791" max="11791" width="0" style="384" hidden="1" customWidth="1"/>
    <col min="11792" max="11792" width="17.88671875" style="384" customWidth="1"/>
    <col min="11793" max="11795" width="9.6640625" style="384" customWidth="1"/>
    <col min="11796" max="11796" width="6.5546875" style="384" customWidth="1"/>
    <col min="11797" max="11810" width="5.44140625" style="384" customWidth="1"/>
    <col min="11811" max="11813" width="5.33203125" style="384" customWidth="1"/>
    <col min="11814" max="11838" width="5" style="384" customWidth="1"/>
    <col min="11839" max="11839" width="2" style="384" customWidth="1"/>
    <col min="11840" max="12041" width="5" style="384"/>
    <col min="12042" max="12042" width="4" style="384" customWidth="1"/>
    <col min="12043" max="12043" width="2.44140625" style="384" customWidth="1"/>
    <col min="12044" max="12044" width="14.88671875" style="384" customWidth="1"/>
    <col min="12045" max="12046" width="3.6640625" style="384" customWidth="1"/>
    <col min="12047" max="12047" width="0" style="384" hidden="1" customWidth="1"/>
    <col min="12048" max="12048" width="17.88671875" style="384" customWidth="1"/>
    <col min="12049" max="12051" width="9.6640625" style="384" customWidth="1"/>
    <col min="12052" max="12052" width="6.5546875" style="384" customWidth="1"/>
    <col min="12053" max="12066" width="5.44140625" style="384" customWidth="1"/>
    <col min="12067" max="12069" width="5.33203125" style="384" customWidth="1"/>
    <col min="12070" max="12094" width="5" style="384" customWidth="1"/>
    <col min="12095" max="12095" width="2" style="384" customWidth="1"/>
    <col min="12096" max="12297" width="5" style="384"/>
    <col min="12298" max="12298" width="4" style="384" customWidth="1"/>
    <col min="12299" max="12299" width="2.44140625" style="384" customWidth="1"/>
    <col min="12300" max="12300" width="14.88671875" style="384" customWidth="1"/>
    <col min="12301" max="12302" width="3.6640625" style="384" customWidth="1"/>
    <col min="12303" max="12303" width="0" style="384" hidden="1" customWidth="1"/>
    <col min="12304" max="12304" width="17.88671875" style="384" customWidth="1"/>
    <col min="12305" max="12307" width="9.6640625" style="384" customWidth="1"/>
    <col min="12308" max="12308" width="6.5546875" style="384" customWidth="1"/>
    <col min="12309" max="12322" width="5.44140625" style="384" customWidth="1"/>
    <col min="12323" max="12325" width="5.33203125" style="384" customWidth="1"/>
    <col min="12326" max="12350" width="5" style="384" customWidth="1"/>
    <col min="12351" max="12351" width="2" style="384" customWidth="1"/>
    <col min="12352" max="12553" width="5" style="384"/>
    <col min="12554" max="12554" width="4" style="384" customWidth="1"/>
    <col min="12555" max="12555" width="2.44140625" style="384" customWidth="1"/>
    <col min="12556" max="12556" width="14.88671875" style="384" customWidth="1"/>
    <col min="12557" max="12558" width="3.6640625" style="384" customWidth="1"/>
    <col min="12559" max="12559" width="0" style="384" hidden="1" customWidth="1"/>
    <col min="12560" max="12560" width="17.88671875" style="384" customWidth="1"/>
    <col min="12561" max="12563" width="9.6640625" style="384" customWidth="1"/>
    <col min="12564" max="12564" width="6.5546875" style="384" customWidth="1"/>
    <col min="12565" max="12578" width="5.44140625" style="384" customWidth="1"/>
    <col min="12579" max="12581" width="5.33203125" style="384" customWidth="1"/>
    <col min="12582" max="12606" width="5" style="384" customWidth="1"/>
    <col min="12607" max="12607" width="2" style="384" customWidth="1"/>
    <col min="12608" max="12809" width="5" style="384"/>
    <col min="12810" max="12810" width="4" style="384" customWidth="1"/>
    <col min="12811" max="12811" width="2.44140625" style="384" customWidth="1"/>
    <col min="12812" max="12812" width="14.88671875" style="384" customWidth="1"/>
    <col min="12813" max="12814" width="3.6640625" style="384" customWidth="1"/>
    <col min="12815" max="12815" width="0" style="384" hidden="1" customWidth="1"/>
    <col min="12816" max="12816" width="17.88671875" style="384" customWidth="1"/>
    <col min="12817" max="12819" width="9.6640625" style="384" customWidth="1"/>
    <col min="12820" max="12820" width="6.5546875" style="384" customWidth="1"/>
    <col min="12821" max="12834" width="5.44140625" style="384" customWidth="1"/>
    <col min="12835" max="12837" width="5.33203125" style="384" customWidth="1"/>
    <col min="12838" max="12862" width="5" style="384" customWidth="1"/>
    <col min="12863" max="12863" width="2" style="384" customWidth="1"/>
    <col min="12864" max="13065" width="5" style="384"/>
    <col min="13066" max="13066" width="4" style="384" customWidth="1"/>
    <col min="13067" max="13067" width="2.44140625" style="384" customWidth="1"/>
    <col min="13068" max="13068" width="14.88671875" style="384" customWidth="1"/>
    <col min="13069" max="13070" width="3.6640625" style="384" customWidth="1"/>
    <col min="13071" max="13071" width="0" style="384" hidden="1" customWidth="1"/>
    <col min="13072" max="13072" width="17.88671875" style="384" customWidth="1"/>
    <col min="13073" max="13075" width="9.6640625" style="384" customWidth="1"/>
    <col min="13076" max="13076" width="6.5546875" style="384" customWidth="1"/>
    <col min="13077" max="13090" width="5.44140625" style="384" customWidth="1"/>
    <col min="13091" max="13093" width="5.33203125" style="384" customWidth="1"/>
    <col min="13094" max="13118" width="5" style="384" customWidth="1"/>
    <col min="13119" max="13119" width="2" style="384" customWidth="1"/>
    <col min="13120" max="13321" width="5" style="384"/>
    <col min="13322" max="13322" width="4" style="384" customWidth="1"/>
    <col min="13323" max="13323" width="2.44140625" style="384" customWidth="1"/>
    <col min="13324" max="13324" width="14.88671875" style="384" customWidth="1"/>
    <col min="13325" max="13326" width="3.6640625" style="384" customWidth="1"/>
    <col min="13327" max="13327" width="0" style="384" hidden="1" customWidth="1"/>
    <col min="13328" max="13328" width="17.88671875" style="384" customWidth="1"/>
    <col min="13329" max="13331" width="9.6640625" style="384" customWidth="1"/>
    <col min="13332" max="13332" width="6.5546875" style="384" customWidth="1"/>
    <col min="13333" max="13346" width="5.44140625" style="384" customWidth="1"/>
    <col min="13347" max="13349" width="5.33203125" style="384" customWidth="1"/>
    <col min="13350" max="13374" width="5" style="384" customWidth="1"/>
    <col min="13375" max="13375" width="2" style="384" customWidth="1"/>
    <col min="13376" max="13577" width="5" style="384"/>
    <col min="13578" max="13578" width="4" style="384" customWidth="1"/>
    <col min="13579" max="13579" width="2.44140625" style="384" customWidth="1"/>
    <col min="13580" max="13580" width="14.88671875" style="384" customWidth="1"/>
    <col min="13581" max="13582" width="3.6640625" style="384" customWidth="1"/>
    <col min="13583" max="13583" width="0" style="384" hidden="1" customWidth="1"/>
    <col min="13584" max="13584" width="17.88671875" style="384" customWidth="1"/>
    <col min="13585" max="13587" width="9.6640625" style="384" customWidth="1"/>
    <col min="13588" max="13588" width="6.5546875" style="384" customWidth="1"/>
    <col min="13589" max="13602" width="5.44140625" style="384" customWidth="1"/>
    <col min="13603" max="13605" width="5.33203125" style="384" customWidth="1"/>
    <col min="13606" max="13630" width="5" style="384" customWidth="1"/>
    <col min="13631" max="13631" width="2" style="384" customWidth="1"/>
    <col min="13632" max="13833" width="5" style="384"/>
    <col min="13834" max="13834" width="4" style="384" customWidth="1"/>
    <col min="13835" max="13835" width="2.44140625" style="384" customWidth="1"/>
    <col min="13836" max="13836" width="14.88671875" style="384" customWidth="1"/>
    <col min="13837" max="13838" width="3.6640625" style="384" customWidth="1"/>
    <col min="13839" max="13839" width="0" style="384" hidden="1" customWidth="1"/>
    <col min="13840" max="13840" width="17.88671875" style="384" customWidth="1"/>
    <col min="13841" max="13843" width="9.6640625" style="384" customWidth="1"/>
    <col min="13844" max="13844" width="6.5546875" style="384" customWidth="1"/>
    <col min="13845" max="13858" width="5.44140625" style="384" customWidth="1"/>
    <col min="13859" max="13861" width="5.33203125" style="384" customWidth="1"/>
    <col min="13862" max="13886" width="5" style="384" customWidth="1"/>
    <col min="13887" max="13887" width="2" style="384" customWidth="1"/>
    <col min="13888" max="14089" width="5" style="384"/>
    <col min="14090" max="14090" width="4" style="384" customWidth="1"/>
    <col min="14091" max="14091" width="2.44140625" style="384" customWidth="1"/>
    <col min="14092" max="14092" width="14.88671875" style="384" customWidth="1"/>
    <col min="14093" max="14094" width="3.6640625" style="384" customWidth="1"/>
    <col min="14095" max="14095" width="0" style="384" hidden="1" customWidth="1"/>
    <col min="14096" max="14096" width="17.88671875" style="384" customWidth="1"/>
    <col min="14097" max="14099" width="9.6640625" style="384" customWidth="1"/>
    <col min="14100" max="14100" width="6.5546875" style="384" customWidth="1"/>
    <col min="14101" max="14114" width="5.44140625" style="384" customWidth="1"/>
    <col min="14115" max="14117" width="5.33203125" style="384" customWidth="1"/>
    <col min="14118" max="14142" width="5" style="384" customWidth="1"/>
    <col min="14143" max="14143" width="2" style="384" customWidth="1"/>
    <col min="14144" max="14345" width="5" style="384"/>
    <col min="14346" max="14346" width="4" style="384" customWidth="1"/>
    <col min="14347" max="14347" width="2.44140625" style="384" customWidth="1"/>
    <col min="14348" max="14348" width="14.88671875" style="384" customWidth="1"/>
    <col min="14349" max="14350" width="3.6640625" style="384" customWidth="1"/>
    <col min="14351" max="14351" width="0" style="384" hidden="1" customWidth="1"/>
    <col min="14352" max="14352" width="17.88671875" style="384" customWidth="1"/>
    <col min="14353" max="14355" width="9.6640625" style="384" customWidth="1"/>
    <col min="14356" max="14356" width="6.5546875" style="384" customWidth="1"/>
    <col min="14357" max="14370" width="5.44140625" style="384" customWidth="1"/>
    <col min="14371" max="14373" width="5.33203125" style="384" customWidth="1"/>
    <col min="14374" max="14398" width="5" style="384" customWidth="1"/>
    <col min="14399" max="14399" width="2" style="384" customWidth="1"/>
    <col min="14400" max="14601" width="5" style="384"/>
    <col min="14602" max="14602" width="4" style="384" customWidth="1"/>
    <col min="14603" max="14603" width="2.44140625" style="384" customWidth="1"/>
    <col min="14604" max="14604" width="14.88671875" style="384" customWidth="1"/>
    <col min="14605" max="14606" width="3.6640625" style="384" customWidth="1"/>
    <col min="14607" max="14607" width="0" style="384" hidden="1" customWidth="1"/>
    <col min="14608" max="14608" width="17.88671875" style="384" customWidth="1"/>
    <col min="14609" max="14611" width="9.6640625" style="384" customWidth="1"/>
    <col min="14612" max="14612" width="6.5546875" style="384" customWidth="1"/>
    <col min="14613" max="14626" width="5.44140625" style="384" customWidth="1"/>
    <col min="14627" max="14629" width="5.33203125" style="384" customWidth="1"/>
    <col min="14630" max="14654" width="5" style="384" customWidth="1"/>
    <col min="14655" max="14655" width="2" style="384" customWidth="1"/>
    <col min="14656" max="14857" width="5" style="384"/>
    <col min="14858" max="14858" width="4" style="384" customWidth="1"/>
    <col min="14859" max="14859" width="2.44140625" style="384" customWidth="1"/>
    <col min="14860" max="14860" width="14.88671875" style="384" customWidth="1"/>
    <col min="14861" max="14862" width="3.6640625" style="384" customWidth="1"/>
    <col min="14863" max="14863" width="0" style="384" hidden="1" customWidth="1"/>
    <col min="14864" max="14864" width="17.88671875" style="384" customWidth="1"/>
    <col min="14865" max="14867" width="9.6640625" style="384" customWidth="1"/>
    <col min="14868" max="14868" width="6.5546875" style="384" customWidth="1"/>
    <col min="14869" max="14882" width="5.44140625" style="384" customWidth="1"/>
    <col min="14883" max="14885" width="5.33203125" style="384" customWidth="1"/>
    <col min="14886" max="14910" width="5" style="384" customWidth="1"/>
    <col min="14911" max="14911" width="2" style="384" customWidth="1"/>
    <col min="14912" max="15113" width="5" style="384"/>
    <col min="15114" max="15114" width="4" style="384" customWidth="1"/>
    <col min="15115" max="15115" width="2.44140625" style="384" customWidth="1"/>
    <col min="15116" max="15116" width="14.88671875" style="384" customWidth="1"/>
    <col min="15117" max="15118" width="3.6640625" style="384" customWidth="1"/>
    <col min="15119" max="15119" width="0" style="384" hidden="1" customWidth="1"/>
    <col min="15120" max="15120" width="17.88671875" style="384" customWidth="1"/>
    <col min="15121" max="15123" width="9.6640625" style="384" customWidth="1"/>
    <col min="15124" max="15124" width="6.5546875" style="384" customWidth="1"/>
    <col min="15125" max="15138" width="5.44140625" style="384" customWidth="1"/>
    <col min="15139" max="15141" width="5.33203125" style="384" customWidth="1"/>
    <col min="15142" max="15166" width="5" style="384" customWidth="1"/>
    <col min="15167" max="15167" width="2" style="384" customWidth="1"/>
    <col min="15168" max="15369" width="5" style="384"/>
    <col min="15370" max="15370" width="4" style="384" customWidth="1"/>
    <col min="15371" max="15371" width="2.44140625" style="384" customWidth="1"/>
    <col min="15372" max="15372" width="14.88671875" style="384" customWidth="1"/>
    <col min="15373" max="15374" width="3.6640625" style="384" customWidth="1"/>
    <col min="15375" max="15375" width="0" style="384" hidden="1" customWidth="1"/>
    <col min="15376" max="15376" width="17.88671875" style="384" customWidth="1"/>
    <col min="15377" max="15379" width="9.6640625" style="384" customWidth="1"/>
    <col min="15380" max="15380" width="6.5546875" style="384" customWidth="1"/>
    <col min="15381" max="15394" width="5.44140625" style="384" customWidth="1"/>
    <col min="15395" max="15397" width="5.33203125" style="384" customWidth="1"/>
    <col min="15398" max="15422" width="5" style="384" customWidth="1"/>
    <col min="15423" max="15423" width="2" style="384" customWidth="1"/>
    <col min="15424" max="15625" width="5" style="384"/>
    <col min="15626" max="15626" width="4" style="384" customWidth="1"/>
    <col min="15627" max="15627" width="2.44140625" style="384" customWidth="1"/>
    <col min="15628" max="15628" width="14.88671875" style="384" customWidth="1"/>
    <col min="15629" max="15630" width="3.6640625" style="384" customWidth="1"/>
    <col min="15631" max="15631" width="0" style="384" hidden="1" customWidth="1"/>
    <col min="15632" max="15632" width="17.88671875" style="384" customWidth="1"/>
    <col min="15633" max="15635" width="9.6640625" style="384" customWidth="1"/>
    <col min="15636" max="15636" width="6.5546875" style="384" customWidth="1"/>
    <col min="15637" max="15650" width="5.44140625" style="384" customWidth="1"/>
    <col min="15651" max="15653" width="5.33203125" style="384" customWidth="1"/>
    <col min="15654" max="15678" width="5" style="384" customWidth="1"/>
    <col min="15679" max="15679" width="2" style="384" customWidth="1"/>
    <col min="15680" max="15881" width="5" style="384"/>
    <col min="15882" max="15882" width="4" style="384" customWidth="1"/>
    <col min="15883" max="15883" width="2.44140625" style="384" customWidth="1"/>
    <col min="15884" max="15884" width="14.88671875" style="384" customWidth="1"/>
    <col min="15885" max="15886" width="3.6640625" style="384" customWidth="1"/>
    <col min="15887" max="15887" width="0" style="384" hidden="1" customWidth="1"/>
    <col min="15888" max="15888" width="17.88671875" style="384" customWidth="1"/>
    <col min="15889" max="15891" width="9.6640625" style="384" customWidth="1"/>
    <col min="15892" max="15892" width="6.5546875" style="384" customWidth="1"/>
    <col min="15893" max="15906" width="5.44140625" style="384" customWidth="1"/>
    <col min="15907" max="15909" width="5.33203125" style="384" customWidth="1"/>
    <col min="15910" max="15934" width="5" style="384" customWidth="1"/>
    <col min="15935" max="15935" width="2" style="384" customWidth="1"/>
    <col min="15936" max="16137" width="5" style="384"/>
    <col min="16138" max="16138" width="4" style="384" customWidth="1"/>
    <col min="16139" max="16139" width="2.44140625" style="384" customWidth="1"/>
    <col min="16140" max="16140" width="14.88671875" style="384" customWidth="1"/>
    <col min="16141" max="16142" width="3.6640625" style="384" customWidth="1"/>
    <col min="16143" max="16143" width="0" style="384" hidden="1" customWidth="1"/>
    <col min="16144" max="16144" width="17.88671875" style="384" customWidth="1"/>
    <col min="16145" max="16147" width="9.6640625" style="384" customWidth="1"/>
    <col min="16148" max="16148" width="6.5546875" style="384" customWidth="1"/>
    <col min="16149" max="16162" width="5.44140625" style="384" customWidth="1"/>
    <col min="16163" max="16165" width="5.33203125" style="384" customWidth="1"/>
    <col min="16166" max="16190" width="5" style="384" customWidth="1"/>
    <col min="16191" max="16191" width="2" style="384" customWidth="1"/>
    <col min="16192" max="16384" width="5" style="384"/>
  </cols>
  <sheetData>
    <row r="2" spans="1:62" ht="7.5" customHeight="1">
      <c r="E2" s="381"/>
      <c r="F2" s="381"/>
      <c r="G2" s="381"/>
      <c r="H2" s="381"/>
      <c r="I2" s="563"/>
      <c r="J2" s="563"/>
      <c r="K2" s="382"/>
      <c r="L2" s="381"/>
      <c r="M2" s="381"/>
      <c r="N2" s="384"/>
      <c r="O2" s="385"/>
      <c r="P2" s="384"/>
      <c r="Q2" s="384"/>
      <c r="R2" s="386"/>
      <c r="S2" s="386"/>
      <c r="T2" s="386"/>
      <c r="U2" s="384"/>
      <c r="V2" s="384"/>
    </row>
    <row r="3" spans="1:62" ht="37.5" customHeight="1">
      <c r="E3" s="717" t="s">
        <v>1174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717"/>
      <c r="AU3" s="717"/>
      <c r="AV3" s="717"/>
      <c r="AW3" s="717"/>
      <c r="AX3" s="717"/>
      <c r="AY3" s="717"/>
      <c r="AZ3" s="717"/>
      <c r="BA3" s="717"/>
      <c r="BB3" s="717"/>
      <c r="BC3" s="717"/>
      <c r="BD3" s="717"/>
      <c r="BE3" s="717"/>
      <c r="BF3" s="717"/>
      <c r="BG3" s="717"/>
      <c r="BH3" s="717"/>
      <c r="BI3" s="717"/>
      <c r="BJ3" s="717"/>
    </row>
    <row r="4" spans="1:62" ht="10.5" customHeight="1" thickBot="1"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  <c r="X4" s="717"/>
      <c r="Y4" s="717"/>
      <c r="Z4" s="717"/>
      <c r="AA4" s="717"/>
      <c r="AB4" s="717"/>
      <c r="AC4" s="717"/>
      <c r="AD4" s="717"/>
      <c r="AE4" s="717"/>
      <c r="AF4" s="717"/>
      <c r="AG4" s="717"/>
      <c r="AH4" s="717"/>
      <c r="AI4" s="717"/>
      <c r="AJ4" s="717"/>
      <c r="AK4" s="717"/>
      <c r="AL4" s="717"/>
      <c r="AM4" s="717"/>
      <c r="AN4" s="717"/>
      <c r="AO4" s="717"/>
      <c r="AP4" s="717"/>
      <c r="AQ4" s="717"/>
      <c r="AR4" s="717"/>
      <c r="AS4" s="717"/>
      <c r="AT4" s="717"/>
      <c r="AU4" s="717"/>
      <c r="AV4" s="717"/>
      <c r="AW4" s="717"/>
      <c r="AX4" s="717"/>
      <c r="AY4" s="717"/>
      <c r="AZ4" s="717"/>
      <c r="BA4" s="717"/>
      <c r="BB4" s="717"/>
      <c r="BC4" s="717"/>
      <c r="BD4" s="717"/>
      <c r="BE4" s="717"/>
      <c r="BF4" s="717"/>
      <c r="BG4" s="717"/>
      <c r="BH4" s="717"/>
      <c r="BI4" s="717"/>
      <c r="BJ4" s="717"/>
    </row>
    <row r="5" spans="1:62" ht="24" customHeight="1">
      <c r="E5" s="388" t="s">
        <v>1081</v>
      </c>
      <c r="F5" s="389"/>
      <c r="G5" s="389"/>
      <c r="H5" s="389"/>
      <c r="I5" s="390" t="str">
        <f>+Resúmen!I4</f>
        <v>"CAMBIO DE LINEAS DE  IMPULSION DE AGUA POTABLE EN EL DISTRITO DE LA MOLINA"</v>
      </c>
      <c r="J5" s="390"/>
      <c r="K5" s="391"/>
      <c r="L5" s="391"/>
      <c r="M5" s="391"/>
      <c r="N5" s="391"/>
      <c r="O5" s="391"/>
      <c r="P5" s="391"/>
      <c r="Q5" s="391"/>
      <c r="R5" s="393"/>
      <c r="S5" s="391"/>
      <c r="T5" s="391"/>
      <c r="U5" s="391"/>
      <c r="V5" s="391"/>
      <c r="W5" s="394"/>
      <c r="X5" s="394"/>
      <c r="Y5" s="394"/>
      <c r="Z5" s="394"/>
      <c r="AA5" s="394"/>
      <c r="AB5" s="394"/>
      <c r="AC5" s="394"/>
      <c r="AD5" s="394"/>
      <c r="AE5" s="394"/>
      <c r="AF5" s="395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4"/>
      <c r="AY5" s="394"/>
      <c r="AZ5" s="394"/>
      <c r="BA5" s="394"/>
      <c r="BB5" s="394"/>
      <c r="BC5" s="394"/>
      <c r="BD5" s="394"/>
      <c r="BE5" s="394"/>
      <c r="BF5" s="394"/>
      <c r="BG5" s="394"/>
      <c r="BH5" s="394"/>
      <c r="BI5" s="394"/>
      <c r="BJ5" s="395"/>
    </row>
    <row r="6" spans="1:62" ht="24" customHeight="1">
      <c r="E6" s="396" t="str">
        <f>+[1]Resúmen!C5</f>
        <v>Fórmula:</v>
      </c>
      <c r="F6" s="397"/>
      <c r="G6" s="397"/>
      <c r="H6" s="397"/>
      <c r="I6" s="398" t="str">
        <f>+Resúmen!I5</f>
        <v>LÍNEAS DE IMPULSIÓN</v>
      </c>
      <c r="J6" s="398"/>
      <c r="K6" s="399"/>
      <c r="L6" s="399"/>
      <c r="M6" s="399"/>
      <c r="N6" s="399"/>
      <c r="O6" s="399"/>
      <c r="P6" s="399"/>
      <c r="Q6" s="399"/>
      <c r="R6" s="401"/>
      <c r="S6" s="399"/>
      <c r="T6" s="399"/>
      <c r="U6" s="399"/>
      <c r="V6" s="399"/>
      <c r="W6" s="402"/>
      <c r="X6" s="402"/>
      <c r="Y6" s="402"/>
      <c r="Z6" s="402"/>
      <c r="AA6" s="402"/>
      <c r="AB6" s="402"/>
      <c r="AC6" s="402"/>
      <c r="AD6" s="402"/>
      <c r="AE6" s="402"/>
      <c r="AF6" s="403"/>
      <c r="AG6" s="402"/>
      <c r="AH6" s="402"/>
      <c r="AI6" s="402"/>
      <c r="AJ6" s="402"/>
      <c r="AK6" s="402"/>
      <c r="AL6" s="402"/>
      <c r="AM6" s="402"/>
      <c r="AN6" s="402"/>
      <c r="AO6" s="402"/>
      <c r="AP6" s="402"/>
      <c r="AQ6" s="402"/>
      <c r="AR6" s="402"/>
      <c r="AS6" s="402"/>
      <c r="AT6" s="402"/>
      <c r="AU6" s="402"/>
      <c r="AV6" s="402"/>
      <c r="AW6" s="402"/>
      <c r="AX6" s="402"/>
      <c r="AY6" s="402"/>
      <c r="AZ6" s="402"/>
      <c r="BA6" s="402"/>
      <c r="BB6" s="402"/>
      <c r="BC6" s="402"/>
      <c r="BD6" s="402"/>
      <c r="BE6" s="402"/>
      <c r="BF6" s="402"/>
      <c r="BG6" s="402"/>
      <c r="BH6" s="402"/>
      <c r="BI6" s="402"/>
      <c r="BJ6" s="403"/>
    </row>
    <row r="7" spans="1:62" ht="24" customHeight="1" thickBot="1">
      <c r="E7" s="404" t="s">
        <v>1082</v>
      </c>
      <c r="F7" s="405"/>
      <c r="G7" s="405"/>
      <c r="H7" s="405"/>
      <c r="I7" s="46" t="str">
        <f>+Resúmen!I7</f>
        <v>LIMA - LIMA - LA MOLINA</v>
      </c>
      <c r="J7" s="46"/>
      <c r="K7" s="10"/>
      <c r="L7" s="10"/>
      <c r="M7" s="10"/>
      <c r="N7" s="10"/>
      <c r="O7" s="10"/>
      <c r="P7" s="10"/>
      <c r="Q7" s="10"/>
      <c r="R7" s="406"/>
      <c r="S7" s="10"/>
      <c r="T7" s="10"/>
      <c r="U7" s="10"/>
      <c r="V7" s="10"/>
      <c r="W7" s="407"/>
      <c r="X7" s="407"/>
      <c r="Y7" s="407"/>
      <c r="Z7" s="407"/>
      <c r="AA7" s="407"/>
      <c r="AB7" s="407"/>
      <c r="AC7" s="407"/>
      <c r="AD7" s="407"/>
      <c r="AE7" s="407"/>
      <c r="AF7" s="408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7"/>
      <c r="AY7" s="407"/>
      <c r="AZ7" s="407"/>
      <c r="BA7" s="407"/>
      <c r="BB7" s="407"/>
      <c r="BC7" s="407"/>
      <c r="BD7" s="407"/>
      <c r="BE7" s="407"/>
      <c r="BF7" s="407"/>
      <c r="BG7" s="407"/>
      <c r="BH7" s="407"/>
      <c r="BI7" s="407"/>
      <c r="BJ7" s="408"/>
    </row>
    <row r="8" spans="1:62" ht="4.5" customHeight="1" thickBot="1">
      <c r="E8" s="409"/>
      <c r="F8" s="405"/>
      <c r="G8" s="405"/>
      <c r="H8" s="405"/>
      <c r="I8" s="564"/>
      <c r="J8" s="564"/>
      <c r="K8" s="10"/>
      <c r="L8" s="10"/>
      <c r="M8" s="10"/>
      <c r="N8" s="10"/>
      <c r="O8" s="10"/>
      <c r="P8" s="10"/>
      <c r="Q8" s="10"/>
      <c r="R8" s="406"/>
      <c r="S8" s="10"/>
      <c r="T8" s="10"/>
      <c r="U8" s="10"/>
      <c r="V8" s="10"/>
    </row>
    <row r="9" spans="1:62" s="411" customFormat="1" ht="22.5" customHeight="1">
      <c r="E9" s="718" t="s">
        <v>1083</v>
      </c>
      <c r="F9" s="721" t="s">
        <v>1084</v>
      </c>
      <c r="G9" s="721"/>
      <c r="H9" s="721"/>
      <c r="I9" s="724" t="s">
        <v>225</v>
      </c>
      <c r="J9" s="725"/>
      <c r="K9" s="725"/>
      <c r="L9" s="725"/>
      <c r="M9" s="726" t="s">
        <v>1175</v>
      </c>
      <c r="N9" s="726"/>
      <c r="O9" s="726"/>
      <c r="P9" s="726"/>
      <c r="Q9" s="726"/>
      <c r="R9" s="726"/>
      <c r="S9" s="726" t="s">
        <v>1176</v>
      </c>
      <c r="T9" s="726"/>
      <c r="U9" s="726" t="s">
        <v>1177</v>
      </c>
      <c r="V9" s="726"/>
      <c r="W9" s="726"/>
      <c r="X9" s="726"/>
      <c r="Y9" s="726"/>
      <c r="Z9" s="726"/>
      <c r="AA9" s="726" t="s">
        <v>1182</v>
      </c>
      <c r="AB9" s="726"/>
      <c r="AC9" s="726"/>
      <c r="AD9" s="726"/>
      <c r="AE9" s="726"/>
      <c r="AF9" s="727"/>
      <c r="AG9" s="728" t="s">
        <v>1183</v>
      </c>
      <c r="AH9" s="713"/>
      <c r="AI9" s="713"/>
      <c r="AJ9" s="713"/>
      <c r="AK9" s="713"/>
      <c r="AL9" s="713"/>
      <c r="AM9" s="713" t="s">
        <v>1106</v>
      </c>
      <c r="AN9" s="713"/>
      <c r="AO9" s="713"/>
      <c r="AP9" s="713"/>
      <c r="AQ9" s="713"/>
      <c r="AR9" s="713"/>
      <c r="AS9" s="713" t="s">
        <v>1109</v>
      </c>
      <c r="AT9" s="713"/>
      <c r="AU9" s="713"/>
      <c r="AV9" s="713"/>
      <c r="AW9" s="713"/>
      <c r="AX9" s="713"/>
      <c r="AY9" s="713" t="s">
        <v>1107</v>
      </c>
      <c r="AZ9" s="713"/>
      <c r="BA9" s="713"/>
      <c r="BB9" s="713"/>
      <c r="BC9" s="713"/>
      <c r="BD9" s="713"/>
      <c r="BE9" s="714" t="s">
        <v>1108</v>
      </c>
      <c r="BF9" s="715"/>
      <c r="BG9" s="715"/>
      <c r="BH9" s="715"/>
      <c r="BI9" s="715"/>
      <c r="BJ9" s="716"/>
    </row>
    <row r="10" spans="1:62" s="411" customFormat="1" ht="14.25" customHeight="1">
      <c r="E10" s="719"/>
      <c r="F10" s="722"/>
      <c r="G10" s="722"/>
      <c r="H10" s="722"/>
      <c r="I10" s="412"/>
      <c r="J10" s="412"/>
      <c r="K10" s="412"/>
      <c r="L10" s="412"/>
      <c r="M10" s="413" t="s">
        <v>1188</v>
      </c>
      <c r="N10" s="414" t="str">
        <f>+M10</f>
        <v>RED</v>
      </c>
      <c r="O10" s="414" t="str">
        <f t="shared" ref="O10:AF10" si="0">+N10</f>
        <v>RED</v>
      </c>
      <c r="P10" s="414" t="str">
        <f t="shared" si="0"/>
        <v>RED</v>
      </c>
      <c r="Q10" s="414" t="str">
        <f t="shared" si="0"/>
        <v>RED</v>
      </c>
      <c r="R10" s="415" t="str">
        <f t="shared" si="0"/>
        <v>RED</v>
      </c>
      <c r="S10" s="413" t="s">
        <v>1189</v>
      </c>
      <c r="T10" s="414" t="str">
        <f t="shared" si="0"/>
        <v>CONEX.</v>
      </c>
      <c r="U10" s="413" t="s">
        <v>1190</v>
      </c>
      <c r="V10" s="414" t="str">
        <f t="shared" si="0"/>
        <v>CABLE</v>
      </c>
      <c r="W10" s="414" t="str">
        <f t="shared" si="0"/>
        <v>CABLE</v>
      </c>
      <c r="X10" s="414" t="str">
        <f t="shared" si="0"/>
        <v>CABLE</v>
      </c>
      <c r="Y10" s="414" t="str">
        <f t="shared" si="0"/>
        <v>CABLE</v>
      </c>
      <c r="Z10" s="415" t="str">
        <f t="shared" si="0"/>
        <v>CABLE</v>
      </c>
      <c r="AA10" s="413" t="s">
        <v>1191</v>
      </c>
      <c r="AB10" s="414" t="str">
        <f t="shared" si="0"/>
        <v>POSTE</v>
      </c>
      <c r="AC10" s="414" t="str">
        <f t="shared" si="0"/>
        <v>POSTE</v>
      </c>
      <c r="AD10" s="414" t="str">
        <f t="shared" si="0"/>
        <v>POSTE</v>
      </c>
      <c r="AE10" s="414" t="str">
        <f t="shared" si="0"/>
        <v>POSTE</v>
      </c>
      <c r="AF10" s="416" t="str">
        <f t="shared" si="0"/>
        <v>POSTE</v>
      </c>
      <c r="AG10" s="616" t="s">
        <v>1089</v>
      </c>
      <c r="AH10" s="414" t="s">
        <v>1089</v>
      </c>
      <c r="AI10" s="414" t="s">
        <v>1089</v>
      </c>
      <c r="AJ10" s="414" t="s">
        <v>1089</v>
      </c>
      <c r="AK10" s="414" t="s">
        <v>1089</v>
      </c>
      <c r="AL10" s="415" t="s">
        <v>1089</v>
      </c>
      <c r="AM10" s="413" t="s">
        <v>1089</v>
      </c>
      <c r="AN10" s="414" t="s">
        <v>1089</v>
      </c>
      <c r="AO10" s="414" t="s">
        <v>1089</v>
      </c>
      <c r="AP10" s="414" t="s">
        <v>1089</v>
      </c>
      <c r="AQ10" s="414" t="s">
        <v>1089</v>
      </c>
      <c r="AR10" s="415" t="s">
        <v>1089</v>
      </c>
      <c r="AS10" s="413" t="s">
        <v>1089</v>
      </c>
      <c r="AT10" s="414" t="s">
        <v>1089</v>
      </c>
      <c r="AU10" s="414" t="s">
        <v>1089</v>
      </c>
      <c r="AV10" s="414" t="s">
        <v>1089</v>
      </c>
      <c r="AW10" s="414" t="s">
        <v>1089</v>
      </c>
      <c r="AX10" s="415" t="s">
        <v>1089</v>
      </c>
      <c r="AY10" s="413" t="s">
        <v>1096</v>
      </c>
      <c r="AZ10" s="414" t="str">
        <f>+AY10</f>
        <v>TEE</v>
      </c>
      <c r="BA10" s="414" t="str">
        <f>+AZ10</f>
        <v>TEE</v>
      </c>
      <c r="BB10" s="414" t="str">
        <f>+BA10</f>
        <v>TEE</v>
      </c>
      <c r="BC10" s="414" t="str">
        <f>+BB10</f>
        <v>TEE</v>
      </c>
      <c r="BD10" s="415" t="s">
        <v>1089</v>
      </c>
      <c r="BE10" s="413" t="s">
        <v>1096</v>
      </c>
      <c r="BF10" s="414" t="str">
        <f>+BE10</f>
        <v>TEE</v>
      </c>
      <c r="BG10" s="414" t="str">
        <f>+BF10</f>
        <v>TEE</v>
      </c>
      <c r="BH10" s="414" t="str">
        <f>+BG10</f>
        <v>TEE</v>
      </c>
      <c r="BI10" s="414" t="str">
        <f>+BH10</f>
        <v>TEE</v>
      </c>
      <c r="BJ10" s="416" t="str">
        <f>+BI10</f>
        <v>TEE</v>
      </c>
    </row>
    <row r="11" spans="1:62" s="411" customFormat="1" ht="22.5" customHeight="1" thickBot="1">
      <c r="E11" s="720"/>
      <c r="F11" s="723"/>
      <c r="G11" s="723"/>
      <c r="H11" s="723"/>
      <c r="I11" s="417" t="s">
        <v>225</v>
      </c>
      <c r="J11" s="417" t="s">
        <v>1093</v>
      </c>
      <c r="K11" s="417" t="s">
        <v>132</v>
      </c>
      <c r="L11" s="417" t="s">
        <v>1187</v>
      </c>
      <c r="M11" s="419">
        <v>100</v>
      </c>
      <c r="N11" s="420">
        <v>150</v>
      </c>
      <c r="O11" s="420">
        <v>200</v>
      </c>
      <c r="P11" s="420">
        <v>250</v>
      </c>
      <c r="Q11" s="421">
        <v>300</v>
      </c>
      <c r="R11" s="422">
        <v>350</v>
      </c>
      <c r="S11" s="419" t="s">
        <v>1212</v>
      </c>
      <c r="T11" s="420" t="s">
        <v>1213</v>
      </c>
      <c r="U11" s="419" t="s">
        <v>1178</v>
      </c>
      <c r="V11" s="420" t="s">
        <v>1179</v>
      </c>
      <c r="W11" s="420" t="s">
        <v>1180</v>
      </c>
      <c r="X11" s="420" t="s">
        <v>1181</v>
      </c>
      <c r="Y11" s="421"/>
      <c r="Z11" s="422"/>
      <c r="AA11" s="419" t="s">
        <v>1203</v>
      </c>
      <c r="AB11" s="420" t="s">
        <v>1204</v>
      </c>
      <c r="AC11" s="420" t="s">
        <v>1205</v>
      </c>
      <c r="AD11" s="420" t="s">
        <v>1206</v>
      </c>
      <c r="AE11" s="421" t="s">
        <v>1207</v>
      </c>
      <c r="AF11" s="423"/>
      <c r="AG11" s="617" t="s">
        <v>1184</v>
      </c>
      <c r="AH11" s="420"/>
      <c r="AI11" s="420"/>
      <c r="AJ11" s="420"/>
      <c r="AK11" s="421"/>
      <c r="AL11" s="422"/>
      <c r="AM11" s="419">
        <v>50</v>
      </c>
      <c r="AN11" s="420">
        <v>100</v>
      </c>
      <c r="AO11" s="420">
        <v>150</v>
      </c>
      <c r="AP11" s="420">
        <v>200</v>
      </c>
      <c r="AQ11" s="421">
        <v>250</v>
      </c>
      <c r="AR11" s="422">
        <v>300</v>
      </c>
      <c r="AS11" s="419">
        <v>50</v>
      </c>
      <c r="AT11" s="420">
        <v>100</v>
      </c>
      <c r="AU11" s="420">
        <v>150</v>
      </c>
      <c r="AV11" s="420">
        <v>200</v>
      </c>
      <c r="AW11" s="421">
        <v>250</v>
      </c>
      <c r="AX11" s="422">
        <v>300</v>
      </c>
      <c r="AY11" s="419">
        <v>100</v>
      </c>
      <c r="AZ11" s="420">
        <v>150</v>
      </c>
      <c r="BA11" s="420">
        <v>200</v>
      </c>
      <c r="BB11" s="420">
        <v>250</v>
      </c>
      <c r="BC11" s="421">
        <v>300</v>
      </c>
      <c r="BD11" s="422">
        <v>350</v>
      </c>
      <c r="BE11" s="419">
        <v>100</v>
      </c>
      <c r="BF11" s="420">
        <v>200</v>
      </c>
      <c r="BG11" s="420">
        <v>250</v>
      </c>
      <c r="BH11" s="420">
        <v>300</v>
      </c>
      <c r="BI11" s="421">
        <v>350</v>
      </c>
      <c r="BJ11" s="423">
        <v>400</v>
      </c>
    </row>
    <row r="12" spans="1:62" s="434" customFormat="1" ht="4.5" hidden="1" customHeight="1">
      <c r="E12" s="560"/>
      <c r="F12" s="425"/>
      <c r="G12" s="426"/>
      <c r="H12" s="561"/>
      <c r="I12" s="562"/>
      <c r="J12" s="562"/>
      <c r="K12" s="428"/>
      <c r="L12" s="562"/>
      <c r="M12" s="430">
        <f t="shared" ref="M12:AR12" si="1">+IF(M300&gt;0,1,0)</f>
        <v>0</v>
      </c>
      <c r="N12" s="431">
        <f t="shared" si="1"/>
        <v>0</v>
      </c>
      <c r="O12" s="431">
        <f t="shared" si="1"/>
        <v>0</v>
      </c>
      <c r="P12" s="431">
        <f t="shared" si="1"/>
        <v>0</v>
      </c>
      <c r="Q12" s="431">
        <f t="shared" si="1"/>
        <v>0</v>
      </c>
      <c r="R12" s="432">
        <f t="shared" si="1"/>
        <v>0</v>
      </c>
      <c r="S12" s="430">
        <f t="shared" si="1"/>
        <v>0</v>
      </c>
      <c r="T12" s="431">
        <f t="shared" si="1"/>
        <v>0</v>
      </c>
      <c r="U12" s="430">
        <f t="shared" si="1"/>
        <v>0</v>
      </c>
      <c r="V12" s="431">
        <f t="shared" si="1"/>
        <v>0</v>
      </c>
      <c r="W12" s="431">
        <f t="shared" si="1"/>
        <v>0</v>
      </c>
      <c r="X12" s="431">
        <f t="shared" si="1"/>
        <v>0</v>
      </c>
      <c r="Y12" s="431">
        <f t="shared" si="1"/>
        <v>0</v>
      </c>
      <c r="Z12" s="432">
        <f t="shared" si="1"/>
        <v>0</v>
      </c>
      <c r="AA12" s="430">
        <f t="shared" si="1"/>
        <v>0</v>
      </c>
      <c r="AB12" s="431">
        <f t="shared" si="1"/>
        <v>0</v>
      </c>
      <c r="AC12" s="431">
        <f t="shared" si="1"/>
        <v>0</v>
      </c>
      <c r="AD12" s="431">
        <f t="shared" si="1"/>
        <v>0</v>
      </c>
      <c r="AE12" s="431">
        <f t="shared" si="1"/>
        <v>0</v>
      </c>
      <c r="AF12" s="433">
        <f t="shared" si="1"/>
        <v>0</v>
      </c>
      <c r="AG12" s="618">
        <f t="shared" si="1"/>
        <v>0</v>
      </c>
      <c r="AH12" s="431">
        <f t="shared" si="1"/>
        <v>0</v>
      </c>
      <c r="AI12" s="431">
        <f t="shared" si="1"/>
        <v>0</v>
      </c>
      <c r="AJ12" s="431">
        <f t="shared" si="1"/>
        <v>0</v>
      </c>
      <c r="AK12" s="431">
        <f t="shared" si="1"/>
        <v>0</v>
      </c>
      <c r="AL12" s="432">
        <f t="shared" si="1"/>
        <v>0</v>
      </c>
      <c r="AM12" s="430">
        <f t="shared" si="1"/>
        <v>0</v>
      </c>
      <c r="AN12" s="431">
        <f t="shared" si="1"/>
        <v>0</v>
      </c>
      <c r="AO12" s="431">
        <f t="shared" si="1"/>
        <v>0</v>
      </c>
      <c r="AP12" s="431">
        <f t="shared" si="1"/>
        <v>0</v>
      </c>
      <c r="AQ12" s="431">
        <f t="shared" si="1"/>
        <v>0</v>
      </c>
      <c r="AR12" s="432">
        <f t="shared" si="1"/>
        <v>0</v>
      </c>
      <c r="AS12" s="430">
        <f t="shared" ref="AS12:BJ12" si="2">+IF(AS300&gt;0,1,0)</f>
        <v>0</v>
      </c>
      <c r="AT12" s="431">
        <f t="shared" si="2"/>
        <v>0</v>
      </c>
      <c r="AU12" s="431">
        <f t="shared" si="2"/>
        <v>0</v>
      </c>
      <c r="AV12" s="431">
        <f t="shared" si="2"/>
        <v>0</v>
      </c>
      <c r="AW12" s="431">
        <f t="shared" si="2"/>
        <v>0</v>
      </c>
      <c r="AX12" s="432">
        <f t="shared" si="2"/>
        <v>0</v>
      </c>
      <c r="AY12" s="430">
        <f t="shared" si="2"/>
        <v>0</v>
      </c>
      <c r="AZ12" s="431">
        <f t="shared" si="2"/>
        <v>0</v>
      </c>
      <c r="BA12" s="431">
        <f t="shared" si="2"/>
        <v>0</v>
      </c>
      <c r="BB12" s="431">
        <f t="shared" si="2"/>
        <v>0</v>
      </c>
      <c r="BC12" s="431">
        <f t="shared" si="2"/>
        <v>0</v>
      </c>
      <c r="BD12" s="432">
        <f t="shared" si="2"/>
        <v>0</v>
      </c>
      <c r="BE12" s="430">
        <f t="shared" si="2"/>
        <v>0</v>
      </c>
      <c r="BF12" s="431">
        <f t="shared" si="2"/>
        <v>0</v>
      </c>
      <c r="BG12" s="431">
        <f t="shared" si="2"/>
        <v>0</v>
      </c>
      <c r="BH12" s="431">
        <f t="shared" si="2"/>
        <v>0</v>
      </c>
      <c r="BI12" s="431">
        <f t="shared" si="2"/>
        <v>0</v>
      </c>
      <c r="BJ12" s="433">
        <f t="shared" si="2"/>
        <v>0</v>
      </c>
    </row>
    <row r="13" spans="1:62" s="434" customFormat="1" ht="15" hidden="1" customHeight="1">
      <c r="E13" s="435" t="s">
        <v>1101</v>
      </c>
      <c r="F13" s="436"/>
      <c r="G13" s="437"/>
      <c r="H13" s="438"/>
      <c r="I13" s="565"/>
      <c r="J13" s="565"/>
      <c r="K13" s="440"/>
      <c r="L13" s="441"/>
      <c r="M13" s="444">
        <f t="shared" ref="M13:AG13" si="3">SUM(M14:M95)</f>
        <v>12</v>
      </c>
      <c r="N13" s="444">
        <f t="shared" si="3"/>
        <v>1</v>
      </c>
      <c r="O13" s="444">
        <f t="shared" si="3"/>
        <v>8</v>
      </c>
      <c r="P13" s="444">
        <f t="shared" si="3"/>
        <v>6</v>
      </c>
      <c r="Q13" s="444">
        <f t="shared" si="3"/>
        <v>2</v>
      </c>
      <c r="R13" s="444">
        <f t="shared" si="3"/>
        <v>5</v>
      </c>
      <c r="S13" s="444">
        <f t="shared" si="3"/>
        <v>75</v>
      </c>
      <c r="T13" s="444">
        <f t="shared" si="3"/>
        <v>44</v>
      </c>
      <c r="U13" s="444">
        <f t="shared" si="3"/>
        <v>0</v>
      </c>
      <c r="V13" s="444">
        <f t="shared" si="3"/>
        <v>2</v>
      </c>
      <c r="W13" s="444">
        <f t="shared" si="3"/>
        <v>0</v>
      </c>
      <c r="X13" s="444">
        <f t="shared" si="3"/>
        <v>3</v>
      </c>
      <c r="Y13" s="444">
        <f t="shared" si="3"/>
        <v>0</v>
      </c>
      <c r="Z13" s="444">
        <f t="shared" si="3"/>
        <v>0</v>
      </c>
      <c r="AA13" s="444">
        <f t="shared" si="3"/>
        <v>22</v>
      </c>
      <c r="AB13" s="444">
        <f t="shared" si="3"/>
        <v>17</v>
      </c>
      <c r="AC13" s="444">
        <f t="shared" si="3"/>
        <v>0</v>
      </c>
      <c r="AD13" s="444">
        <f t="shared" si="3"/>
        <v>0</v>
      </c>
      <c r="AE13" s="444">
        <f t="shared" si="3"/>
        <v>0</v>
      </c>
      <c r="AF13" s="620">
        <f t="shared" si="3"/>
        <v>0</v>
      </c>
      <c r="AG13" s="619">
        <f t="shared" si="3"/>
        <v>0</v>
      </c>
      <c r="AH13" s="444">
        <f t="shared" ref="AH13:AN13" si="4">SUM(AH16:AH95)</f>
        <v>0</v>
      </c>
      <c r="AI13" s="444">
        <f t="shared" si="4"/>
        <v>0</v>
      </c>
      <c r="AJ13" s="444">
        <f t="shared" si="4"/>
        <v>0</v>
      </c>
      <c r="AK13" s="444">
        <f t="shared" si="4"/>
        <v>0</v>
      </c>
      <c r="AL13" s="444">
        <f t="shared" si="4"/>
        <v>0</v>
      </c>
      <c r="AM13" s="444">
        <f t="shared" si="4"/>
        <v>0</v>
      </c>
      <c r="AN13" s="444">
        <f t="shared" si="4"/>
        <v>0</v>
      </c>
      <c r="AO13" s="450"/>
      <c r="AP13" s="450"/>
      <c r="AQ13" s="450"/>
      <c r="AR13" s="451"/>
      <c r="AS13" s="452"/>
      <c r="AT13" s="450"/>
      <c r="AU13" s="450"/>
      <c r="AV13" s="450"/>
      <c r="AW13" s="450"/>
      <c r="AX13" s="451"/>
      <c r="AY13" s="452"/>
      <c r="AZ13" s="450"/>
      <c r="BA13" s="450"/>
      <c r="BB13" s="450"/>
      <c r="BC13" s="450"/>
      <c r="BD13" s="451"/>
      <c r="BE13" s="452"/>
      <c r="BF13" s="450"/>
      <c r="BG13" s="450"/>
      <c r="BH13" s="450"/>
      <c r="BI13" s="450"/>
      <c r="BJ13" s="453"/>
    </row>
    <row r="14" spans="1:62" s="434" customFormat="1" ht="15" hidden="1" customHeight="1">
      <c r="E14" s="454" t="s">
        <v>1185</v>
      </c>
      <c r="F14" s="455"/>
      <c r="G14" s="456"/>
      <c r="H14" s="457"/>
      <c r="I14" s="458" t="s">
        <v>1210</v>
      </c>
      <c r="J14" s="566"/>
      <c r="K14" s="459"/>
      <c r="L14" s="460"/>
      <c r="M14" s="463"/>
      <c r="N14" s="463"/>
      <c r="O14" s="463"/>
      <c r="P14" s="463"/>
      <c r="Q14" s="463"/>
      <c r="R14" s="463"/>
      <c r="S14" s="463">
        <v>75</v>
      </c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463"/>
      <c r="AE14" s="463"/>
      <c r="AF14" s="621"/>
      <c r="AG14" s="573"/>
      <c r="AH14" s="573"/>
      <c r="AI14" s="573"/>
      <c r="AJ14" s="573"/>
      <c r="AK14" s="573"/>
      <c r="AL14" s="574"/>
      <c r="AM14" s="463"/>
      <c r="AN14" s="573"/>
      <c r="AO14" s="575"/>
      <c r="AP14" s="575"/>
      <c r="AQ14" s="575"/>
      <c r="AR14" s="576"/>
      <c r="AS14" s="577"/>
      <c r="AT14" s="575"/>
      <c r="AU14" s="575"/>
      <c r="AV14" s="575"/>
      <c r="AW14" s="575"/>
      <c r="AX14" s="576"/>
      <c r="AY14" s="577"/>
      <c r="AZ14" s="575"/>
      <c r="BA14" s="575"/>
      <c r="BB14" s="575"/>
      <c r="BC14" s="575"/>
      <c r="BD14" s="576"/>
      <c r="BE14" s="577"/>
      <c r="BF14" s="575"/>
      <c r="BG14" s="575"/>
      <c r="BH14" s="575"/>
      <c r="BI14" s="575"/>
      <c r="BJ14" s="578"/>
    </row>
    <row r="15" spans="1:62" s="434" customFormat="1" ht="15" hidden="1" customHeight="1">
      <c r="E15" s="454" t="s">
        <v>1185</v>
      </c>
      <c r="F15" s="455"/>
      <c r="G15" s="456"/>
      <c r="H15" s="457"/>
      <c r="I15" s="458" t="s">
        <v>1211</v>
      </c>
      <c r="J15" s="566"/>
      <c r="K15" s="459"/>
      <c r="L15" s="460"/>
      <c r="M15" s="463"/>
      <c r="N15" s="463"/>
      <c r="O15" s="463"/>
      <c r="P15" s="463"/>
      <c r="Q15" s="463"/>
      <c r="R15" s="463"/>
      <c r="S15" s="463"/>
      <c r="T15" s="463">
        <v>44</v>
      </c>
      <c r="U15" s="463"/>
      <c r="V15" s="463"/>
      <c r="W15" s="463"/>
      <c r="X15" s="463"/>
      <c r="Y15" s="463"/>
      <c r="Z15" s="463"/>
      <c r="AA15" s="463"/>
      <c r="AB15" s="463"/>
      <c r="AC15" s="463"/>
      <c r="AD15" s="463"/>
      <c r="AE15" s="463"/>
      <c r="AF15" s="621"/>
      <c r="AG15" s="573"/>
      <c r="AH15" s="573"/>
      <c r="AI15" s="573"/>
      <c r="AJ15" s="573"/>
      <c r="AK15" s="573"/>
      <c r="AL15" s="574"/>
      <c r="AM15" s="463"/>
      <c r="AN15" s="573"/>
      <c r="AO15" s="575"/>
      <c r="AP15" s="575"/>
      <c r="AQ15" s="575"/>
      <c r="AR15" s="576"/>
      <c r="AS15" s="577"/>
      <c r="AT15" s="575"/>
      <c r="AU15" s="575"/>
      <c r="AV15" s="575"/>
      <c r="AW15" s="575"/>
      <c r="AX15" s="576"/>
      <c r="AY15" s="577"/>
      <c r="AZ15" s="575"/>
      <c r="BA15" s="575"/>
      <c r="BB15" s="575"/>
      <c r="BC15" s="575"/>
      <c r="BD15" s="576"/>
      <c r="BE15" s="577"/>
      <c r="BF15" s="575"/>
      <c r="BG15" s="575"/>
      <c r="BH15" s="575"/>
      <c r="BI15" s="575"/>
      <c r="BJ15" s="578"/>
    </row>
    <row r="16" spans="1:62" s="467" customFormat="1" ht="16.5" hidden="1" customHeight="1">
      <c r="A16" s="460" t="s">
        <v>1188</v>
      </c>
      <c r="E16" s="454" t="s">
        <v>1185</v>
      </c>
      <c r="F16" s="455"/>
      <c r="G16" s="456"/>
      <c r="H16" s="457"/>
      <c r="I16" s="458" t="s">
        <v>1193</v>
      </c>
      <c r="J16" s="566" t="s">
        <v>1192</v>
      </c>
      <c r="K16" s="571">
        <v>100</v>
      </c>
      <c r="L16" s="460" t="s">
        <v>1188</v>
      </c>
      <c r="M16" s="463">
        <f>+IF($L16=M$10,IF($K16=M$11,1,0),0)</f>
        <v>1</v>
      </c>
      <c r="N16" s="463">
        <f t="shared" ref="N16:AC31" si="5">+IF($L16=N$10,IF($K16=N$11,1,0),0)</f>
        <v>0</v>
      </c>
      <c r="O16" s="463">
        <f t="shared" si="5"/>
        <v>0</v>
      </c>
      <c r="P16" s="463">
        <f t="shared" si="5"/>
        <v>0</v>
      </c>
      <c r="Q16" s="463">
        <f t="shared" si="5"/>
        <v>0</v>
      </c>
      <c r="R16" s="463">
        <f t="shared" si="5"/>
        <v>0</v>
      </c>
      <c r="S16" s="463">
        <f t="shared" si="5"/>
        <v>0</v>
      </c>
      <c r="T16" s="463">
        <f t="shared" si="5"/>
        <v>0</v>
      </c>
      <c r="U16" s="463">
        <f t="shared" si="5"/>
        <v>0</v>
      </c>
      <c r="V16" s="463">
        <f t="shared" si="5"/>
        <v>0</v>
      </c>
      <c r="W16" s="463">
        <f t="shared" si="5"/>
        <v>0</v>
      </c>
      <c r="X16" s="463">
        <f t="shared" si="5"/>
        <v>0</v>
      </c>
      <c r="Y16" s="463">
        <f t="shared" si="5"/>
        <v>0</v>
      </c>
      <c r="Z16" s="463">
        <f t="shared" si="5"/>
        <v>0</v>
      </c>
      <c r="AA16" s="463">
        <f t="shared" si="5"/>
        <v>0</v>
      </c>
      <c r="AB16" s="463">
        <f t="shared" si="5"/>
        <v>0</v>
      </c>
      <c r="AC16" s="463">
        <f t="shared" si="5"/>
        <v>0</v>
      </c>
      <c r="AD16" s="463">
        <f t="shared" ref="AD16:AF31" si="6">+IF($L16=AD$10,IF($K16=AD$11,1,0),0)</f>
        <v>0</v>
      </c>
      <c r="AE16" s="463">
        <f t="shared" si="6"/>
        <v>0</v>
      </c>
      <c r="AF16" s="621">
        <f t="shared" si="6"/>
        <v>0</v>
      </c>
      <c r="AG16" s="573"/>
      <c r="AH16" s="464"/>
      <c r="AI16" s="464"/>
      <c r="AJ16" s="464"/>
      <c r="AK16" s="464"/>
      <c r="AL16" s="465"/>
      <c r="AM16" s="463"/>
      <c r="AN16" s="464"/>
      <c r="AO16" s="464"/>
      <c r="AP16" s="464"/>
      <c r="AQ16" s="464"/>
      <c r="AR16" s="465"/>
      <c r="AS16" s="463"/>
      <c r="AT16" s="464"/>
      <c r="AU16" s="464"/>
      <c r="AV16" s="464"/>
      <c r="AW16" s="464"/>
      <c r="AX16" s="465"/>
      <c r="AY16" s="463"/>
      <c r="AZ16" s="464"/>
      <c r="BA16" s="464"/>
      <c r="BB16" s="464"/>
      <c r="BC16" s="464"/>
      <c r="BD16" s="465"/>
      <c r="BE16" s="463"/>
      <c r="BF16" s="464"/>
      <c r="BG16" s="464"/>
      <c r="BH16" s="464"/>
      <c r="BI16" s="464"/>
      <c r="BJ16" s="466"/>
    </row>
    <row r="17" spans="1:62" s="467" customFormat="1" ht="16.5" hidden="1" customHeight="1">
      <c r="A17" s="460" t="s">
        <v>1189</v>
      </c>
      <c r="E17" s="454" t="s">
        <v>1185</v>
      </c>
      <c r="F17" s="455"/>
      <c r="G17" s="456"/>
      <c r="H17" s="457"/>
      <c r="I17" s="458" t="s">
        <v>1194</v>
      </c>
      <c r="J17" s="566" t="s">
        <v>1192</v>
      </c>
      <c r="K17" s="571">
        <v>350</v>
      </c>
      <c r="L17" s="460" t="s">
        <v>1188</v>
      </c>
      <c r="M17" s="463">
        <f t="shared" ref="M17:AB32" si="7">+IF($L17=M$10,IF($K17=M$11,1,0),0)</f>
        <v>0</v>
      </c>
      <c r="N17" s="463">
        <f t="shared" si="5"/>
        <v>0</v>
      </c>
      <c r="O17" s="463">
        <f t="shared" si="5"/>
        <v>0</v>
      </c>
      <c r="P17" s="463">
        <f t="shared" si="5"/>
        <v>0</v>
      </c>
      <c r="Q17" s="463">
        <f t="shared" si="5"/>
        <v>0</v>
      </c>
      <c r="R17" s="463">
        <f t="shared" si="5"/>
        <v>1</v>
      </c>
      <c r="S17" s="463">
        <f t="shared" si="5"/>
        <v>0</v>
      </c>
      <c r="T17" s="463">
        <f t="shared" si="5"/>
        <v>0</v>
      </c>
      <c r="U17" s="463">
        <f t="shared" si="5"/>
        <v>0</v>
      </c>
      <c r="V17" s="463">
        <f t="shared" si="5"/>
        <v>0</v>
      </c>
      <c r="W17" s="463">
        <f t="shared" si="5"/>
        <v>0</v>
      </c>
      <c r="X17" s="463">
        <f t="shared" si="5"/>
        <v>0</v>
      </c>
      <c r="Y17" s="463">
        <f t="shared" si="5"/>
        <v>0</v>
      </c>
      <c r="Z17" s="463">
        <f t="shared" si="5"/>
        <v>0</v>
      </c>
      <c r="AA17" s="463">
        <f t="shared" si="5"/>
        <v>0</v>
      </c>
      <c r="AB17" s="463">
        <f t="shared" si="5"/>
        <v>0</v>
      </c>
      <c r="AC17" s="463">
        <f t="shared" si="5"/>
        <v>0</v>
      </c>
      <c r="AD17" s="463">
        <f t="shared" si="6"/>
        <v>0</v>
      </c>
      <c r="AE17" s="463">
        <f t="shared" si="6"/>
        <v>0</v>
      </c>
      <c r="AF17" s="621">
        <f t="shared" si="6"/>
        <v>0</v>
      </c>
      <c r="AG17" s="573"/>
      <c r="AH17" s="464"/>
      <c r="AI17" s="464"/>
      <c r="AJ17" s="464"/>
      <c r="AK17" s="464"/>
      <c r="AL17" s="465"/>
      <c r="AM17" s="463"/>
      <c r="AN17" s="464"/>
      <c r="AO17" s="464"/>
      <c r="AP17" s="464"/>
      <c r="AQ17" s="464"/>
      <c r="AR17" s="465"/>
      <c r="AS17" s="463"/>
      <c r="AT17" s="464"/>
      <c r="AU17" s="464"/>
      <c r="AV17" s="464"/>
      <c r="AW17" s="464"/>
      <c r="AX17" s="465"/>
      <c r="AY17" s="463"/>
      <c r="AZ17" s="464"/>
      <c r="BA17" s="464"/>
      <c r="BB17" s="464"/>
      <c r="BC17" s="464"/>
      <c r="BD17" s="465"/>
      <c r="BE17" s="463"/>
      <c r="BF17" s="464"/>
      <c r="BG17" s="464"/>
      <c r="BH17" s="464"/>
      <c r="BI17" s="464"/>
      <c r="BJ17" s="466"/>
    </row>
    <row r="18" spans="1:62" s="467" customFormat="1" ht="16.5" hidden="1" customHeight="1">
      <c r="A18" s="460" t="s">
        <v>1190</v>
      </c>
      <c r="E18" s="454" t="s">
        <v>1185</v>
      </c>
      <c r="F18" s="455"/>
      <c r="G18" s="456"/>
      <c r="H18" s="457"/>
      <c r="I18" s="458" t="s">
        <v>1195</v>
      </c>
      <c r="J18" s="566" t="s">
        <v>1196</v>
      </c>
      <c r="K18" s="571">
        <v>90</v>
      </c>
      <c r="L18" s="460" t="s">
        <v>1188</v>
      </c>
      <c r="M18" s="463">
        <f t="shared" si="7"/>
        <v>0</v>
      </c>
      <c r="N18" s="463">
        <f t="shared" si="5"/>
        <v>0</v>
      </c>
      <c r="O18" s="463">
        <f t="shared" si="5"/>
        <v>0</v>
      </c>
      <c r="P18" s="463">
        <f t="shared" si="5"/>
        <v>0</v>
      </c>
      <c r="Q18" s="463">
        <f t="shared" si="5"/>
        <v>0</v>
      </c>
      <c r="R18" s="463">
        <f t="shared" si="5"/>
        <v>0</v>
      </c>
      <c r="S18" s="463">
        <f t="shared" si="5"/>
        <v>0</v>
      </c>
      <c r="T18" s="463">
        <f t="shared" si="5"/>
        <v>0</v>
      </c>
      <c r="U18" s="463">
        <f t="shared" si="5"/>
        <v>0</v>
      </c>
      <c r="V18" s="463">
        <f t="shared" si="5"/>
        <v>0</v>
      </c>
      <c r="W18" s="463">
        <f t="shared" si="5"/>
        <v>0</v>
      </c>
      <c r="X18" s="463">
        <f t="shared" si="5"/>
        <v>0</v>
      </c>
      <c r="Y18" s="463">
        <f t="shared" si="5"/>
        <v>0</v>
      </c>
      <c r="Z18" s="463">
        <f t="shared" si="5"/>
        <v>0</v>
      </c>
      <c r="AA18" s="463">
        <f t="shared" si="5"/>
        <v>0</v>
      </c>
      <c r="AB18" s="463">
        <f t="shared" si="5"/>
        <v>0</v>
      </c>
      <c r="AC18" s="463">
        <f t="shared" si="5"/>
        <v>0</v>
      </c>
      <c r="AD18" s="463">
        <f t="shared" si="6"/>
        <v>0</v>
      </c>
      <c r="AE18" s="463">
        <f t="shared" si="6"/>
        <v>0</v>
      </c>
      <c r="AF18" s="621">
        <f t="shared" si="6"/>
        <v>0</v>
      </c>
      <c r="AG18" s="573"/>
      <c r="AH18" s="464"/>
      <c r="AI18" s="464"/>
      <c r="AJ18" s="464"/>
      <c r="AK18" s="464"/>
      <c r="AL18" s="465"/>
      <c r="AM18" s="463"/>
      <c r="AN18" s="464"/>
      <c r="AO18" s="464"/>
      <c r="AP18" s="464"/>
      <c r="AQ18" s="464"/>
      <c r="AR18" s="465"/>
      <c r="AS18" s="463"/>
      <c r="AT18" s="464"/>
      <c r="AU18" s="464"/>
      <c r="AV18" s="464"/>
      <c r="AW18" s="464"/>
      <c r="AX18" s="465"/>
      <c r="AY18" s="463"/>
      <c r="AZ18" s="464"/>
      <c r="BA18" s="464"/>
      <c r="BB18" s="464"/>
      <c r="BC18" s="464"/>
      <c r="BD18" s="465"/>
      <c r="BE18" s="463"/>
      <c r="BF18" s="464"/>
      <c r="BG18" s="464"/>
      <c r="BH18" s="464"/>
      <c r="BI18" s="464"/>
      <c r="BJ18" s="466"/>
    </row>
    <row r="19" spans="1:62" s="467" customFormat="1" ht="16.5" hidden="1" customHeight="1">
      <c r="A19" s="460" t="s">
        <v>1191</v>
      </c>
      <c r="E19" s="454" t="s">
        <v>1185</v>
      </c>
      <c r="F19" s="455"/>
      <c r="G19" s="456"/>
      <c r="H19" s="457"/>
      <c r="I19" s="458" t="s">
        <v>1194</v>
      </c>
      <c r="J19" s="566" t="s">
        <v>1192</v>
      </c>
      <c r="K19" s="571">
        <v>300</v>
      </c>
      <c r="L19" s="460" t="s">
        <v>1188</v>
      </c>
      <c r="M19" s="463">
        <f t="shared" si="7"/>
        <v>0</v>
      </c>
      <c r="N19" s="463">
        <f t="shared" si="5"/>
        <v>0</v>
      </c>
      <c r="O19" s="463">
        <f t="shared" si="5"/>
        <v>0</v>
      </c>
      <c r="P19" s="463">
        <f t="shared" si="5"/>
        <v>0</v>
      </c>
      <c r="Q19" s="463">
        <f t="shared" si="5"/>
        <v>1</v>
      </c>
      <c r="R19" s="463">
        <f t="shared" si="5"/>
        <v>0</v>
      </c>
      <c r="S19" s="463">
        <f t="shared" si="5"/>
        <v>0</v>
      </c>
      <c r="T19" s="463">
        <f t="shared" si="5"/>
        <v>0</v>
      </c>
      <c r="U19" s="463">
        <f t="shared" si="5"/>
        <v>0</v>
      </c>
      <c r="V19" s="463">
        <f t="shared" si="5"/>
        <v>0</v>
      </c>
      <c r="W19" s="463">
        <f t="shared" si="5"/>
        <v>0</v>
      </c>
      <c r="X19" s="463">
        <f t="shared" si="5"/>
        <v>0</v>
      </c>
      <c r="Y19" s="463">
        <f t="shared" si="5"/>
        <v>0</v>
      </c>
      <c r="Z19" s="463">
        <f t="shared" si="5"/>
        <v>0</v>
      </c>
      <c r="AA19" s="463">
        <f t="shared" si="5"/>
        <v>0</v>
      </c>
      <c r="AB19" s="463">
        <f t="shared" si="5"/>
        <v>0</v>
      </c>
      <c r="AC19" s="463">
        <f t="shared" si="5"/>
        <v>0</v>
      </c>
      <c r="AD19" s="463">
        <f t="shared" si="6"/>
        <v>0</v>
      </c>
      <c r="AE19" s="463">
        <f t="shared" si="6"/>
        <v>0</v>
      </c>
      <c r="AF19" s="621">
        <f t="shared" si="6"/>
        <v>0</v>
      </c>
      <c r="AG19" s="573"/>
      <c r="AH19" s="464"/>
      <c r="AI19" s="464"/>
      <c r="AJ19" s="464"/>
      <c r="AK19" s="464"/>
      <c r="AL19" s="465"/>
      <c r="AM19" s="463"/>
      <c r="AN19" s="464"/>
      <c r="AO19" s="464"/>
      <c r="AP19" s="464"/>
      <c r="AQ19" s="464"/>
      <c r="AR19" s="465"/>
      <c r="AS19" s="463"/>
      <c r="AT19" s="464"/>
      <c r="AU19" s="464"/>
      <c r="AV19" s="464"/>
      <c r="AW19" s="464"/>
      <c r="AX19" s="465"/>
      <c r="AY19" s="463"/>
      <c r="AZ19" s="464"/>
      <c r="BA19" s="464"/>
      <c r="BB19" s="464"/>
      <c r="BC19" s="464"/>
      <c r="BD19" s="465"/>
      <c r="BE19" s="463"/>
      <c r="BF19" s="464"/>
      <c r="BG19" s="464"/>
      <c r="BH19" s="464"/>
      <c r="BI19" s="464"/>
      <c r="BJ19" s="466"/>
    </row>
    <row r="20" spans="1:62" s="467" customFormat="1" ht="16.5" hidden="1" customHeight="1">
      <c r="A20" s="460" t="s">
        <v>1191</v>
      </c>
      <c r="E20" s="454" t="s">
        <v>1185</v>
      </c>
      <c r="F20" s="455"/>
      <c r="G20" s="456"/>
      <c r="H20" s="457"/>
      <c r="I20" s="458" t="s">
        <v>1194</v>
      </c>
      <c r="J20" s="566" t="s">
        <v>1192</v>
      </c>
      <c r="K20" s="571">
        <v>300</v>
      </c>
      <c r="L20" s="460" t="s">
        <v>1188</v>
      </c>
      <c r="M20" s="463">
        <f t="shared" si="7"/>
        <v>0</v>
      </c>
      <c r="N20" s="463">
        <f t="shared" si="5"/>
        <v>0</v>
      </c>
      <c r="O20" s="463">
        <f t="shared" si="5"/>
        <v>0</v>
      </c>
      <c r="P20" s="463">
        <f t="shared" si="5"/>
        <v>0</v>
      </c>
      <c r="Q20" s="463">
        <f t="shared" ref="Q20:W20" si="8">+IF($L20=Q$10,IF($K20=Q$11,1,0),0)</f>
        <v>1</v>
      </c>
      <c r="R20" s="463">
        <f t="shared" si="8"/>
        <v>0</v>
      </c>
      <c r="S20" s="463">
        <f t="shared" si="8"/>
        <v>0</v>
      </c>
      <c r="T20" s="463">
        <f t="shared" si="8"/>
        <v>0</v>
      </c>
      <c r="U20" s="463">
        <f t="shared" si="8"/>
        <v>0</v>
      </c>
      <c r="V20" s="463">
        <f t="shared" si="8"/>
        <v>0</v>
      </c>
      <c r="W20" s="463">
        <f t="shared" si="8"/>
        <v>0</v>
      </c>
      <c r="X20" s="463">
        <f t="shared" si="5"/>
        <v>0</v>
      </c>
      <c r="Y20" s="463">
        <f t="shared" si="5"/>
        <v>0</v>
      </c>
      <c r="Z20" s="463">
        <f t="shared" si="5"/>
        <v>0</v>
      </c>
      <c r="AA20" s="463">
        <f t="shared" si="5"/>
        <v>0</v>
      </c>
      <c r="AB20" s="463">
        <f t="shared" si="5"/>
        <v>0</v>
      </c>
      <c r="AC20" s="463">
        <f t="shared" si="5"/>
        <v>0</v>
      </c>
      <c r="AD20" s="463">
        <f t="shared" si="6"/>
        <v>0</v>
      </c>
      <c r="AE20" s="463">
        <f t="shared" si="6"/>
        <v>0</v>
      </c>
      <c r="AF20" s="621">
        <f t="shared" si="6"/>
        <v>0</v>
      </c>
      <c r="AG20" s="573"/>
      <c r="AH20" s="464"/>
      <c r="AI20" s="464"/>
      <c r="AJ20" s="464"/>
      <c r="AK20" s="464"/>
      <c r="AL20" s="465"/>
      <c r="AM20" s="463"/>
      <c r="AN20" s="464"/>
      <c r="AO20" s="464"/>
      <c r="AP20" s="464"/>
      <c r="AQ20" s="464"/>
      <c r="AR20" s="465"/>
      <c r="AS20" s="463"/>
      <c r="AT20" s="464"/>
      <c r="AU20" s="464"/>
      <c r="AV20" s="464"/>
      <c r="AW20" s="464"/>
      <c r="AX20" s="465"/>
      <c r="AY20" s="463"/>
      <c r="AZ20" s="464"/>
      <c r="BA20" s="464"/>
      <c r="BB20" s="464"/>
      <c r="BC20" s="464"/>
      <c r="BD20" s="465"/>
      <c r="BE20" s="463"/>
      <c r="BF20" s="464"/>
      <c r="BG20" s="464"/>
      <c r="BH20" s="464"/>
      <c r="BI20" s="464"/>
      <c r="BJ20" s="466"/>
    </row>
    <row r="21" spans="1:62" s="467" customFormat="1" ht="16.5" hidden="1" customHeight="1">
      <c r="A21" s="460" t="s">
        <v>1191</v>
      </c>
      <c r="E21" s="454" t="s">
        <v>1185</v>
      </c>
      <c r="F21" s="455"/>
      <c r="G21" s="456"/>
      <c r="H21" s="457"/>
      <c r="I21" s="458" t="s">
        <v>1197</v>
      </c>
      <c r="J21" s="566" t="s">
        <v>1198</v>
      </c>
      <c r="K21" s="571">
        <v>200</v>
      </c>
      <c r="L21" s="460" t="s">
        <v>1188</v>
      </c>
      <c r="M21" s="463">
        <f t="shared" si="7"/>
        <v>0</v>
      </c>
      <c r="N21" s="463">
        <f>+IF($L21=N$10,IF($K21=N$11,1,0),0)</f>
        <v>0</v>
      </c>
      <c r="O21" s="463">
        <f t="shared" si="7"/>
        <v>1</v>
      </c>
      <c r="P21" s="463">
        <f t="shared" si="7"/>
        <v>0</v>
      </c>
      <c r="Q21" s="463">
        <f t="shared" si="7"/>
        <v>0</v>
      </c>
      <c r="R21" s="463">
        <f t="shared" si="7"/>
        <v>0</v>
      </c>
      <c r="S21" s="463">
        <f t="shared" si="7"/>
        <v>0</v>
      </c>
      <c r="T21" s="463">
        <f t="shared" si="7"/>
        <v>0</v>
      </c>
      <c r="U21" s="463">
        <f t="shared" si="7"/>
        <v>0</v>
      </c>
      <c r="V21" s="463">
        <f t="shared" si="7"/>
        <v>0</v>
      </c>
      <c r="W21" s="463">
        <f t="shared" si="7"/>
        <v>0</v>
      </c>
      <c r="X21" s="463">
        <f t="shared" si="5"/>
        <v>0</v>
      </c>
      <c r="Y21" s="463">
        <f t="shared" si="5"/>
        <v>0</v>
      </c>
      <c r="Z21" s="463">
        <f t="shared" si="5"/>
        <v>0</v>
      </c>
      <c r="AA21" s="463">
        <f t="shared" si="5"/>
        <v>0</v>
      </c>
      <c r="AB21" s="463">
        <f t="shared" si="5"/>
        <v>0</v>
      </c>
      <c r="AC21" s="463">
        <f t="shared" si="5"/>
        <v>0</v>
      </c>
      <c r="AD21" s="463">
        <f t="shared" si="6"/>
        <v>0</v>
      </c>
      <c r="AE21" s="463">
        <f t="shared" si="6"/>
        <v>0</v>
      </c>
      <c r="AF21" s="621">
        <f t="shared" si="6"/>
        <v>0</v>
      </c>
      <c r="AG21" s="573"/>
      <c r="AH21" s="464"/>
      <c r="AI21" s="464"/>
      <c r="AJ21" s="464"/>
      <c r="AK21" s="464"/>
      <c r="AL21" s="465"/>
      <c r="AM21" s="463"/>
      <c r="AN21" s="464"/>
      <c r="AO21" s="464"/>
      <c r="AP21" s="464"/>
      <c r="AQ21" s="464"/>
      <c r="AR21" s="465"/>
      <c r="AS21" s="463"/>
      <c r="AT21" s="464"/>
      <c r="AU21" s="464"/>
      <c r="AV21" s="464"/>
      <c r="AW21" s="464"/>
      <c r="AX21" s="465"/>
      <c r="AY21" s="463"/>
      <c r="AZ21" s="464"/>
      <c r="BA21" s="464"/>
      <c r="BB21" s="464"/>
      <c r="BC21" s="464"/>
      <c r="BD21" s="465"/>
      <c r="BE21" s="463"/>
      <c r="BF21" s="464"/>
      <c r="BG21" s="464"/>
      <c r="BH21" s="464"/>
      <c r="BI21" s="464"/>
      <c r="BJ21" s="466"/>
    </row>
    <row r="22" spans="1:62" s="467" customFormat="1" ht="16.5" hidden="1" customHeight="1">
      <c r="A22" s="460" t="s">
        <v>1191</v>
      </c>
      <c r="E22" s="454" t="s">
        <v>1185</v>
      </c>
      <c r="F22" s="455"/>
      <c r="G22" s="456"/>
      <c r="H22" s="457"/>
      <c r="I22" s="458" t="s">
        <v>1193</v>
      </c>
      <c r="J22" s="566" t="s">
        <v>1192</v>
      </c>
      <c r="K22" s="571">
        <v>150</v>
      </c>
      <c r="L22" s="460" t="s">
        <v>1188</v>
      </c>
      <c r="M22" s="463">
        <f t="shared" si="7"/>
        <v>0</v>
      </c>
      <c r="N22" s="463">
        <f t="shared" si="7"/>
        <v>1</v>
      </c>
      <c r="O22" s="463">
        <f t="shared" si="7"/>
        <v>0</v>
      </c>
      <c r="P22" s="463">
        <f t="shared" si="7"/>
        <v>0</v>
      </c>
      <c r="Q22" s="463">
        <f t="shared" si="7"/>
        <v>0</v>
      </c>
      <c r="R22" s="463">
        <f t="shared" si="7"/>
        <v>0</v>
      </c>
      <c r="S22" s="463">
        <f t="shared" si="7"/>
        <v>0</v>
      </c>
      <c r="T22" s="463">
        <f t="shared" si="7"/>
        <v>0</v>
      </c>
      <c r="U22" s="463">
        <f t="shared" si="7"/>
        <v>0</v>
      </c>
      <c r="V22" s="463">
        <f t="shared" si="7"/>
        <v>0</v>
      </c>
      <c r="W22" s="463">
        <f t="shared" si="7"/>
        <v>0</v>
      </c>
      <c r="X22" s="463">
        <f t="shared" si="5"/>
        <v>0</v>
      </c>
      <c r="Y22" s="463">
        <f t="shared" si="5"/>
        <v>0</v>
      </c>
      <c r="Z22" s="463">
        <f t="shared" si="5"/>
        <v>0</v>
      </c>
      <c r="AA22" s="463">
        <f t="shared" si="5"/>
        <v>0</v>
      </c>
      <c r="AB22" s="463">
        <f t="shared" si="5"/>
        <v>0</v>
      </c>
      <c r="AC22" s="463">
        <f t="shared" si="5"/>
        <v>0</v>
      </c>
      <c r="AD22" s="463">
        <f t="shared" si="6"/>
        <v>0</v>
      </c>
      <c r="AE22" s="463">
        <f t="shared" si="6"/>
        <v>0</v>
      </c>
      <c r="AF22" s="621">
        <f t="shared" si="6"/>
        <v>0</v>
      </c>
      <c r="AG22" s="573"/>
      <c r="AH22" s="464"/>
      <c r="AI22" s="464"/>
      <c r="AJ22" s="464"/>
      <c r="AK22" s="464"/>
      <c r="AL22" s="465"/>
      <c r="AM22" s="463"/>
      <c r="AN22" s="464"/>
      <c r="AO22" s="464"/>
      <c r="AP22" s="464"/>
      <c r="AQ22" s="464"/>
      <c r="AR22" s="465"/>
      <c r="AS22" s="463"/>
      <c r="AT22" s="464"/>
      <c r="AU22" s="464"/>
      <c r="AV22" s="464"/>
      <c r="AW22" s="464"/>
      <c r="AX22" s="465"/>
      <c r="AY22" s="463"/>
      <c r="AZ22" s="464"/>
      <c r="BA22" s="464"/>
      <c r="BB22" s="464"/>
      <c r="BC22" s="464"/>
      <c r="BD22" s="465"/>
      <c r="BE22" s="463"/>
      <c r="BF22" s="464"/>
      <c r="BG22" s="464"/>
      <c r="BH22" s="464"/>
      <c r="BI22" s="464"/>
      <c r="BJ22" s="466"/>
    </row>
    <row r="23" spans="1:62" s="467" customFormat="1" ht="16.5" hidden="1" customHeight="1">
      <c r="A23" s="460" t="s">
        <v>1191</v>
      </c>
      <c r="E23" s="454" t="s">
        <v>1185</v>
      </c>
      <c r="F23" s="455"/>
      <c r="G23" s="456"/>
      <c r="H23" s="457"/>
      <c r="I23" s="458" t="s">
        <v>1193</v>
      </c>
      <c r="J23" s="566" t="s">
        <v>1192</v>
      </c>
      <c r="K23" s="571">
        <v>100</v>
      </c>
      <c r="L23" s="460" t="s">
        <v>1188</v>
      </c>
      <c r="M23" s="463">
        <f t="shared" si="7"/>
        <v>1</v>
      </c>
      <c r="N23" s="463">
        <f t="shared" si="7"/>
        <v>0</v>
      </c>
      <c r="O23" s="463">
        <f t="shared" si="7"/>
        <v>0</v>
      </c>
      <c r="P23" s="463">
        <f t="shared" si="7"/>
        <v>0</v>
      </c>
      <c r="Q23" s="463">
        <f t="shared" si="7"/>
        <v>0</v>
      </c>
      <c r="R23" s="463">
        <f t="shared" si="7"/>
        <v>0</v>
      </c>
      <c r="S23" s="463">
        <f t="shared" si="7"/>
        <v>0</v>
      </c>
      <c r="T23" s="463">
        <f t="shared" si="7"/>
        <v>0</v>
      </c>
      <c r="U23" s="463">
        <f t="shared" si="7"/>
        <v>0</v>
      </c>
      <c r="V23" s="463">
        <f t="shared" si="7"/>
        <v>0</v>
      </c>
      <c r="W23" s="463">
        <f t="shared" si="7"/>
        <v>0</v>
      </c>
      <c r="X23" s="463">
        <f t="shared" si="5"/>
        <v>0</v>
      </c>
      <c r="Y23" s="463">
        <f t="shared" si="5"/>
        <v>0</v>
      </c>
      <c r="Z23" s="463">
        <f t="shared" si="5"/>
        <v>0</v>
      </c>
      <c r="AA23" s="463">
        <f t="shared" si="5"/>
        <v>0</v>
      </c>
      <c r="AB23" s="463">
        <f t="shared" si="5"/>
        <v>0</v>
      </c>
      <c r="AC23" s="463">
        <f t="shared" si="5"/>
        <v>0</v>
      </c>
      <c r="AD23" s="463">
        <f t="shared" si="6"/>
        <v>0</v>
      </c>
      <c r="AE23" s="463">
        <f t="shared" si="6"/>
        <v>0</v>
      </c>
      <c r="AF23" s="621">
        <f t="shared" si="6"/>
        <v>0</v>
      </c>
      <c r="AG23" s="573"/>
      <c r="AH23" s="464"/>
      <c r="AI23" s="464"/>
      <c r="AJ23" s="464"/>
      <c r="AK23" s="464"/>
      <c r="AL23" s="465"/>
      <c r="AM23" s="463"/>
      <c r="AN23" s="464"/>
      <c r="AO23" s="464"/>
      <c r="AP23" s="464"/>
      <c r="AQ23" s="464"/>
      <c r="AR23" s="465"/>
      <c r="AS23" s="463"/>
      <c r="AT23" s="464"/>
      <c r="AU23" s="464"/>
      <c r="AV23" s="464"/>
      <c r="AW23" s="464"/>
      <c r="AX23" s="465"/>
      <c r="AY23" s="463"/>
      <c r="AZ23" s="464"/>
      <c r="BA23" s="464"/>
      <c r="BB23" s="464"/>
      <c r="BC23" s="464"/>
      <c r="BD23" s="465"/>
      <c r="BE23" s="463"/>
      <c r="BF23" s="464"/>
      <c r="BG23" s="464"/>
      <c r="BH23" s="464"/>
      <c r="BI23" s="464"/>
      <c r="BJ23" s="466"/>
    </row>
    <row r="24" spans="1:62" s="467" customFormat="1" ht="16.5" hidden="1" customHeight="1">
      <c r="A24" s="460" t="s">
        <v>1191</v>
      </c>
      <c r="E24" s="454" t="s">
        <v>1185</v>
      </c>
      <c r="F24" s="455"/>
      <c r="G24" s="456"/>
      <c r="H24" s="457"/>
      <c r="I24" s="458" t="s">
        <v>1199</v>
      </c>
      <c r="J24" s="566"/>
      <c r="K24" s="571" t="s">
        <v>1181</v>
      </c>
      <c r="L24" s="460" t="s">
        <v>1190</v>
      </c>
      <c r="M24" s="463">
        <f t="shared" si="7"/>
        <v>0</v>
      </c>
      <c r="N24" s="463">
        <f t="shared" si="7"/>
        <v>0</v>
      </c>
      <c r="O24" s="463">
        <f t="shared" si="7"/>
        <v>0</v>
      </c>
      <c r="P24" s="463">
        <f t="shared" si="7"/>
        <v>0</v>
      </c>
      <c r="Q24" s="463">
        <f t="shared" si="7"/>
        <v>0</v>
      </c>
      <c r="R24" s="463">
        <f t="shared" si="7"/>
        <v>0</v>
      </c>
      <c r="S24" s="463">
        <f t="shared" si="7"/>
        <v>0</v>
      </c>
      <c r="T24" s="463">
        <f t="shared" si="7"/>
        <v>0</v>
      </c>
      <c r="U24" s="463">
        <f>+IF($L24=U$10,IF($K24=U$11,1,0),0)</f>
        <v>0</v>
      </c>
      <c r="V24" s="463">
        <f t="shared" si="7"/>
        <v>0</v>
      </c>
      <c r="W24" s="463">
        <f t="shared" si="7"/>
        <v>0</v>
      </c>
      <c r="X24" s="463">
        <f t="shared" si="5"/>
        <v>1</v>
      </c>
      <c r="Y24" s="463">
        <f t="shared" si="5"/>
        <v>0</v>
      </c>
      <c r="Z24" s="463">
        <f t="shared" si="5"/>
        <v>0</v>
      </c>
      <c r="AA24" s="463">
        <f t="shared" si="5"/>
        <v>0</v>
      </c>
      <c r="AB24" s="463">
        <f t="shared" si="5"/>
        <v>0</v>
      </c>
      <c r="AC24" s="463">
        <f t="shared" si="5"/>
        <v>0</v>
      </c>
      <c r="AD24" s="463">
        <f t="shared" si="6"/>
        <v>0</v>
      </c>
      <c r="AE24" s="463">
        <f t="shared" si="6"/>
        <v>0</v>
      </c>
      <c r="AF24" s="621">
        <f t="shared" si="6"/>
        <v>0</v>
      </c>
      <c r="AG24" s="573"/>
      <c r="AH24" s="464"/>
      <c r="AI24" s="464"/>
      <c r="AJ24" s="464"/>
      <c r="AK24" s="464"/>
      <c r="AL24" s="465"/>
      <c r="AM24" s="463"/>
      <c r="AN24" s="464"/>
      <c r="AO24" s="464"/>
      <c r="AP24" s="464"/>
      <c r="AQ24" s="464"/>
      <c r="AR24" s="465"/>
      <c r="AS24" s="463"/>
      <c r="AT24" s="464"/>
      <c r="AU24" s="464"/>
      <c r="AV24" s="464"/>
      <c r="AW24" s="464"/>
      <c r="AX24" s="465"/>
      <c r="AY24" s="463"/>
      <c r="AZ24" s="464"/>
      <c r="BA24" s="464"/>
      <c r="BB24" s="464"/>
      <c r="BC24" s="464"/>
      <c r="BD24" s="465"/>
      <c r="BE24" s="463"/>
      <c r="BF24" s="464"/>
      <c r="BG24" s="464"/>
      <c r="BH24" s="464"/>
      <c r="BI24" s="464"/>
      <c r="BJ24" s="466"/>
    </row>
    <row r="25" spans="1:62" s="467" customFormat="1" ht="16.5" hidden="1" customHeight="1">
      <c r="A25" s="460" t="s">
        <v>1191</v>
      </c>
      <c r="E25" s="454" t="s">
        <v>1185</v>
      </c>
      <c r="F25" s="455"/>
      <c r="G25" s="456"/>
      <c r="H25" s="457"/>
      <c r="I25" s="458" t="s">
        <v>1200</v>
      </c>
      <c r="J25" s="566"/>
      <c r="K25" s="571" t="s">
        <v>1179</v>
      </c>
      <c r="L25" s="460" t="s">
        <v>1190</v>
      </c>
      <c r="M25" s="463">
        <f t="shared" si="7"/>
        <v>0</v>
      </c>
      <c r="N25" s="463">
        <f t="shared" si="7"/>
        <v>0</v>
      </c>
      <c r="O25" s="463">
        <f t="shared" si="7"/>
        <v>0</v>
      </c>
      <c r="P25" s="463">
        <f t="shared" si="7"/>
        <v>0</v>
      </c>
      <c r="Q25" s="463">
        <f t="shared" si="7"/>
        <v>0</v>
      </c>
      <c r="R25" s="463">
        <f t="shared" si="7"/>
        <v>0</v>
      </c>
      <c r="S25" s="463">
        <f t="shared" si="7"/>
        <v>0</v>
      </c>
      <c r="T25" s="463">
        <f t="shared" si="7"/>
        <v>0</v>
      </c>
      <c r="U25" s="463">
        <f t="shared" si="7"/>
        <v>0</v>
      </c>
      <c r="V25" s="463">
        <f t="shared" si="7"/>
        <v>1</v>
      </c>
      <c r="W25" s="463">
        <f t="shared" si="7"/>
        <v>0</v>
      </c>
      <c r="X25" s="463">
        <f t="shared" si="5"/>
        <v>0</v>
      </c>
      <c r="Y25" s="463">
        <f t="shared" si="5"/>
        <v>0</v>
      </c>
      <c r="Z25" s="463">
        <f t="shared" si="5"/>
        <v>0</v>
      </c>
      <c r="AA25" s="463">
        <f t="shared" si="5"/>
        <v>0</v>
      </c>
      <c r="AB25" s="463">
        <f t="shared" si="5"/>
        <v>0</v>
      </c>
      <c r="AC25" s="463">
        <f t="shared" si="5"/>
        <v>0</v>
      </c>
      <c r="AD25" s="463">
        <f t="shared" si="6"/>
        <v>0</v>
      </c>
      <c r="AE25" s="463">
        <f t="shared" si="6"/>
        <v>0</v>
      </c>
      <c r="AF25" s="621">
        <f t="shared" si="6"/>
        <v>0</v>
      </c>
      <c r="AG25" s="573"/>
      <c r="AH25" s="464"/>
      <c r="AI25" s="464"/>
      <c r="AJ25" s="464"/>
      <c r="AK25" s="464"/>
      <c r="AL25" s="465"/>
      <c r="AM25" s="463"/>
      <c r="AN25" s="464"/>
      <c r="AO25" s="464"/>
      <c r="AP25" s="464"/>
      <c r="AQ25" s="464"/>
      <c r="AR25" s="465"/>
      <c r="AS25" s="463"/>
      <c r="AT25" s="464"/>
      <c r="AU25" s="464"/>
      <c r="AV25" s="464"/>
      <c r="AW25" s="464"/>
      <c r="AX25" s="465"/>
      <c r="AY25" s="463"/>
      <c r="AZ25" s="464"/>
      <c r="BA25" s="464"/>
      <c r="BB25" s="464"/>
      <c r="BC25" s="464"/>
      <c r="BD25" s="465"/>
      <c r="BE25" s="463"/>
      <c r="BF25" s="464"/>
      <c r="BG25" s="464"/>
      <c r="BH25" s="464"/>
      <c r="BI25" s="464"/>
      <c r="BJ25" s="466"/>
    </row>
    <row r="26" spans="1:62" s="467" customFormat="1" ht="16.5" hidden="1" customHeight="1">
      <c r="A26" s="460" t="s">
        <v>1191</v>
      </c>
      <c r="E26" s="454" t="s">
        <v>1185</v>
      </c>
      <c r="F26" s="455"/>
      <c r="G26" s="456"/>
      <c r="H26" s="457"/>
      <c r="I26" s="458" t="s">
        <v>1193</v>
      </c>
      <c r="J26" s="566" t="s">
        <v>1192</v>
      </c>
      <c r="K26" s="571">
        <v>100</v>
      </c>
      <c r="L26" s="460" t="s">
        <v>1188</v>
      </c>
      <c r="M26" s="463">
        <f t="shared" si="7"/>
        <v>1</v>
      </c>
      <c r="N26" s="463">
        <f t="shared" si="7"/>
        <v>0</v>
      </c>
      <c r="O26" s="463">
        <f t="shared" si="7"/>
        <v>0</v>
      </c>
      <c r="P26" s="463">
        <f t="shared" si="7"/>
        <v>0</v>
      </c>
      <c r="Q26" s="463">
        <f t="shared" si="7"/>
        <v>0</v>
      </c>
      <c r="R26" s="463">
        <f t="shared" si="7"/>
        <v>0</v>
      </c>
      <c r="S26" s="463">
        <f t="shared" si="7"/>
        <v>0</v>
      </c>
      <c r="T26" s="463">
        <f t="shared" si="7"/>
        <v>0</v>
      </c>
      <c r="U26" s="463">
        <f t="shared" si="7"/>
        <v>0</v>
      </c>
      <c r="V26" s="463">
        <f t="shared" si="7"/>
        <v>0</v>
      </c>
      <c r="W26" s="463">
        <f t="shared" si="7"/>
        <v>0</v>
      </c>
      <c r="X26" s="463">
        <f t="shared" si="5"/>
        <v>0</v>
      </c>
      <c r="Y26" s="463">
        <f t="shared" si="5"/>
        <v>0</v>
      </c>
      <c r="Z26" s="463">
        <f t="shared" si="5"/>
        <v>0</v>
      </c>
      <c r="AA26" s="463">
        <f t="shared" si="5"/>
        <v>0</v>
      </c>
      <c r="AB26" s="463">
        <f t="shared" si="5"/>
        <v>0</v>
      </c>
      <c r="AC26" s="463">
        <f t="shared" si="5"/>
        <v>0</v>
      </c>
      <c r="AD26" s="463">
        <f t="shared" si="6"/>
        <v>0</v>
      </c>
      <c r="AE26" s="463">
        <f t="shared" si="6"/>
        <v>0</v>
      </c>
      <c r="AF26" s="621">
        <f t="shared" si="6"/>
        <v>0</v>
      </c>
      <c r="AG26" s="573"/>
      <c r="AH26" s="464"/>
      <c r="AI26" s="464"/>
      <c r="AJ26" s="464"/>
      <c r="AK26" s="464"/>
      <c r="AL26" s="465"/>
      <c r="AM26" s="463"/>
      <c r="AN26" s="464"/>
      <c r="AO26" s="464"/>
      <c r="AP26" s="464"/>
      <c r="AQ26" s="464"/>
      <c r="AR26" s="465"/>
      <c r="AS26" s="463"/>
      <c r="AT26" s="464"/>
      <c r="AU26" s="464"/>
      <c r="AV26" s="464"/>
      <c r="AW26" s="464"/>
      <c r="AX26" s="465"/>
      <c r="AY26" s="463"/>
      <c r="AZ26" s="464"/>
      <c r="BA26" s="464"/>
      <c r="BB26" s="464"/>
      <c r="BC26" s="464"/>
      <c r="BD26" s="465"/>
      <c r="BE26" s="463"/>
      <c r="BF26" s="464"/>
      <c r="BG26" s="464"/>
      <c r="BH26" s="464"/>
      <c r="BI26" s="464"/>
      <c r="BJ26" s="466"/>
    </row>
    <row r="27" spans="1:62" s="467" customFormat="1" ht="16.5" hidden="1" customHeight="1">
      <c r="A27" s="460" t="s">
        <v>1191</v>
      </c>
      <c r="E27" s="454" t="s">
        <v>1185</v>
      </c>
      <c r="F27" s="455"/>
      <c r="G27" s="456"/>
      <c r="H27" s="457"/>
      <c r="I27" s="458" t="s">
        <v>1193</v>
      </c>
      <c r="J27" s="566" t="s">
        <v>1192</v>
      </c>
      <c r="K27" s="571">
        <v>100</v>
      </c>
      <c r="L27" s="460" t="s">
        <v>1188</v>
      </c>
      <c r="M27" s="463">
        <f t="shared" si="7"/>
        <v>1</v>
      </c>
      <c r="N27" s="463">
        <f t="shared" si="7"/>
        <v>0</v>
      </c>
      <c r="O27" s="463">
        <f t="shared" si="7"/>
        <v>0</v>
      </c>
      <c r="P27" s="463">
        <f t="shared" si="7"/>
        <v>0</v>
      </c>
      <c r="Q27" s="463">
        <f t="shared" si="7"/>
        <v>0</v>
      </c>
      <c r="R27" s="463">
        <f t="shared" si="7"/>
        <v>0</v>
      </c>
      <c r="S27" s="463">
        <f t="shared" si="7"/>
        <v>0</v>
      </c>
      <c r="T27" s="463">
        <f t="shared" si="7"/>
        <v>0</v>
      </c>
      <c r="U27" s="463">
        <f t="shared" si="7"/>
        <v>0</v>
      </c>
      <c r="V27" s="463">
        <f t="shared" si="7"/>
        <v>0</v>
      </c>
      <c r="W27" s="463">
        <f t="shared" si="7"/>
        <v>0</v>
      </c>
      <c r="X27" s="463">
        <f t="shared" si="5"/>
        <v>0</v>
      </c>
      <c r="Y27" s="463">
        <f t="shared" si="5"/>
        <v>0</v>
      </c>
      <c r="Z27" s="463">
        <f t="shared" si="5"/>
        <v>0</v>
      </c>
      <c r="AA27" s="463">
        <f t="shared" si="5"/>
        <v>0</v>
      </c>
      <c r="AB27" s="463">
        <f t="shared" si="5"/>
        <v>0</v>
      </c>
      <c r="AC27" s="463">
        <f t="shared" si="5"/>
        <v>0</v>
      </c>
      <c r="AD27" s="463">
        <f t="shared" si="6"/>
        <v>0</v>
      </c>
      <c r="AE27" s="463">
        <f t="shared" si="6"/>
        <v>0</v>
      </c>
      <c r="AF27" s="621">
        <f t="shared" si="6"/>
        <v>0</v>
      </c>
      <c r="AG27" s="573"/>
      <c r="AH27" s="464"/>
      <c r="AI27" s="464"/>
      <c r="AJ27" s="464"/>
      <c r="AK27" s="464"/>
      <c r="AL27" s="465"/>
      <c r="AM27" s="463"/>
      <c r="AN27" s="464"/>
      <c r="AO27" s="464"/>
      <c r="AP27" s="464"/>
      <c r="AQ27" s="464"/>
      <c r="AR27" s="465"/>
      <c r="AS27" s="463"/>
      <c r="AT27" s="464"/>
      <c r="AU27" s="464"/>
      <c r="AV27" s="464"/>
      <c r="AW27" s="464"/>
      <c r="AX27" s="465"/>
      <c r="AY27" s="463"/>
      <c r="AZ27" s="464"/>
      <c r="BA27" s="464"/>
      <c r="BB27" s="464"/>
      <c r="BC27" s="464"/>
      <c r="BD27" s="465"/>
      <c r="BE27" s="463"/>
      <c r="BF27" s="464"/>
      <c r="BG27" s="464"/>
      <c r="BH27" s="464"/>
      <c r="BI27" s="464"/>
      <c r="BJ27" s="466"/>
    </row>
    <row r="28" spans="1:62" s="467" customFormat="1" ht="16.5" hidden="1" customHeight="1">
      <c r="A28" s="460" t="s">
        <v>1191</v>
      </c>
      <c r="E28" s="454" t="s">
        <v>1185</v>
      </c>
      <c r="F28" s="455"/>
      <c r="G28" s="456"/>
      <c r="H28" s="457"/>
      <c r="I28" s="458" t="s">
        <v>1200</v>
      </c>
      <c r="J28" s="566"/>
      <c r="K28" s="571" t="s">
        <v>1179</v>
      </c>
      <c r="L28" s="460" t="s">
        <v>1190</v>
      </c>
      <c r="M28" s="463">
        <f t="shared" si="7"/>
        <v>0</v>
      </c>
      <c r="N28" s="463">
        <f t="shared" si="7"/>
        <v>0</v>
      </c>
      <c r="O28" s="463">
        <f t="shared" si="7"/>
        <v>0</v>
      </c>
      <c r="P28" s="463">
        <f t="shared" si="7"/>
        <v>0</v>
      </c>
      <c r="Q28" s="463">
        <f t="shared" si="7"/>
        <v>0</v>
      </c>
      <c r="R28" s="463">
        <f t="shared" si="7"/>
        <v>0</v>
      </c>
      <c r="S28" s="463">
        <f t="shared" si="7"/>
        <v>0</v>
      </c>
      <c r="T28" s="463">
        <f t="shared" si="7"/>
        <v>0</v>
      </c>
      <c r="U28" s="463">
        <f t="shared" si="7"/>
        <v>0</v>
      </c>
      <c r="V28" s="463">
        <f t="shared" si="7"/>
        <v>1</v>
      </c>
      <c r="W28" s="463">
        <f t="shared" si="7"/>
        <v>0</v>
      </c>
      <c r="X28" s="463">
        <f t="shared" si="5"/>
        <v>0</v>
      </c>
      <c r="Y28" s="463">
        <f t="shared" si="5"/>
        <v>0</v>
      </c>
      <c r="Z28" s="463">
        <f t="shared" si="5"/>
        <v>0</v>
      </c>
      <c r="AA28" s="463">
        <f t="shared" si="5"/>
        <v>0</v>
      </c>
      <c r="AB28" s="463">
        <f t="shared" si="5"/>
        <v>0</v>
      </c>
      <c r="AC28" s="463">
        <f t="shared" si="5"/>
        <v>0</v>
      </c>
      <c r="AD28" s="463">
        <f t="shared" si="6"/>
        <v>0</v>
      </c>
      <c r="AE28" s="463">
        <f t="shared" si="6"/>
        <v>0</v>
      </c>
      <c r="AF28" s="621">
        <f t="shared" si="6"/>
        <v>0</v>
      </c>
      <c r="AG28" s="573"/>
      <c r="AH28" s="464"/>
      <c r="AI28" s="464"/>
      <c r="AJ28" s="464"/>
      <c r="AK28" s="464"/>
      <c r="AL28" s="465"/>
      <c r="AM28" s="463"/>
      <c r="AN28" s="464"/>
      <c r="AO28" s="464"/>
      <c r="AP28" s="464"/>
      <c r="AQ28" s="464"/>
      <c r="AR28" s="465"/>
      <c r="AS28" s="463"/>
      <c r="AT28" s="464"/>
      <c r="AU28" s="464"/>
      <c r="AV28" s="464"/>
      <c r="AW28" s="464"/>
      <c r="AX28" s="465"/>
      <c r="AY28" s="463"/>
      <c r="AZ28" s="464"/>
      <c r="BA28" s="464"/>
      <c r="BB28" s="464"/>
      <c r="BC28" s="464"/>
      <c r="BD28" s="465"/>
      <c r="BE28" s="463"/>
      <c r="BF28" s="464"/>
      <c r="BG28" s="464"/>
      <c r="BH28" s="464"/>
      <c r="BI28" s="464"/>
      <c r="BJ28" s="466"/>
    </row>
    <row r="29" spans="1:62" s="467" customFormat="1" ht="16.5" hidden="1" customHeight="1">
      <c r="A29" s="460" t="s">
        <v>1191</v>
      </c>
      <c r="E29" s="454" t="s">
        <v>1185</v>
      </c>
      <c r="F29" s="455"/>
      <c r="G29" s="456"/>
      <c r="H29" s="457"/>
      <c r="I29" s="458" t="s">
        <v>1193</v>
      </c>
      <c r="J29" s="566" t="s">
        <v>1192</v>
      </c>
      <c r="K29" s="571">
        <v>100</v>
      </c>
      <c r="L29" s="460" t="s">
        <v>1188</v>
      </c>
      <c r="M29" s="463">
        <f t="shared" si="7"/>
        <v>1</v>
      </c>
      <c r="N29" s="463">
        <f t="shared" si="7"/>
        <v>0</v>
      </c>
      <c r="O29" s="463">
        <f t="shared" si="7"/>
        <v>0</v>
      </c>
      <c r="P29" s="463">
        <f t="shared" si="7"/>
        <v>0</v>
      </c>
      <c r="Q29" s="463">
        <f t="shared" si="7"/>
        <v>0</v>
      </c>
      <c r="R29" s="463">
        <f t="shared" si="7"/>
        <v>0</v>
      </c>
      <c r="S29" s="463">
        <f t="shared" si="7"/>
        <v>0</v>
      </c>
      <c r="T29" s="463">
        <f t="shared" si="7"/>
        <v>0</v>
      </c>
      <c r="U29" s="463">
        <f t="shared" si="7"/>
        <v>0</v>
      </c>
      <c r="V29" s="463">
        <f t="shared" si="7"/>
        <v>0</v>
      </c>
      <c r="W29" s="463">
        <f t="shared" si="7"/>
        <v>0</v>
      </c>
      <c r="X29" s="463">
        <f t="shared" si="5"/>
        <v>0</v>
      </c>
      <c r="Y29" s="463">
        <f t="shared" si="5"/>
        <v>0</v>
      </c>
      <c r="Z29" s="463">
        <f t="shared" si="5"/>
        <v>0</v>
      </c>
      <c r="AA29" s="463">
        <f t="shared" si="5"/>
        <v>0</v>
      </c>
      <c r="AB29" s="463">
        <f t="shared" si="5"/>
        <v>0</v>
      </c>
      <c r="AC29" s="463">
        <f t="shared" si="5"/>
        <v>0</v>
      </c>
      <c r="AD29" s="463">
        <f t="shared" si="6"/>
        <v>0</v>
      </c>
      <c r="AE29" s="463">
        <f t="shared" si="6"/>
        <v>0</v>
      </c>
      <c r="AF29" s="621">
        <f t="shared" si="6"/>
        <v>0</v>
      </c>
      <c r="AG29" s="573"/>
      <c r="AH29" s="464"/>
      <c r="AI29" s="464"/>
      <c r="AJ29" s="464"/>
      <c r="AK29" s="464"/>
      <c r="AL29" s="465"/>
      <c r="AM29" s="463"/>
      <c r="AN29" s="464"/>
      <c r="AO29" s="464"/>
      <c r="AP29" s="464"/>
      <c r="AQ29" s="464"/>
      <c r="AR29" s="465"/>
      <c r="AS29" s="463"/>
      <c r="AT29" s="464"/>
      <c r="AU29" s="464"/>
      <c r="AV29" s="464"/>
      <c r="AW29" s="464"/>
      <c r="AX29" s="465"/>
      <c r="AY29" s="463"/>
      <c r="AZ29" s="464"/>
      <c r="BA29" s="464"/>
      <c r="BB29" s="464"/>
      <c r="BC29" s="464"/>
      <c r="BD29" s="465"/>
      <c r="BE29" s="463"/>
      <c r="BF29" s="464"/>
      <c r="BG29" s="464"/>
      <c r="BH29" s="464"/>
      <c r="BI29" s="464"/>
      <c r="BJ29" s="466"/>
    </row>
    <row r="30" spans="1:62" s="467" customFormat="1" ht="16.5" hidden="1" customHeight="1">
      <c r="A30" s="460" t="s">
        <v>1191</v>
      </c>
      <c r="E30" s="454" t="s">
        <v>1185</v>
      </c>
      <c r="F30" s="455"/>
      <c r="G30" s="456"/>
      <c r="H30" s="457"/>
      <c r="I30" s="458" t="s">
        <v>1197</v>
      </c>
      <c r="J30" s="566" t="s">
        <v>1198</v>
      </c>
      <c r="K30" s="571">
        <v>200</v>
      </c>
      <c r="L30" s="460" t="s">
        <v>1188</v>
      </c>
      <c r="M30" s="463">
        <f t="shared" si="7"/>
        <v>0</v>
      </c>
      <c r="N30" s="463">
        <f t="shared" si="7"/>
        <v>0</v>
      </c>
      <c r="O30" s="463">
        <f t="shared" si="7"/>
        <v>1</v>
      </c>
      <c r="P30" s="463">
        <f t="shared" si="7"/>
        <v>0</v>
      </c>
      <c r="Q30" s="463">
        <f t="shared" si="7"/>
        <v>0</v>
      </c>
      <c r="R30" s="463">
        <f t="shared" si="7"/>
        <v>0</v>
      </c>
      <c r="S30" s="463">
        <f t="shared" si="7"/>
        <v>0</v>
      </c>
      <c r="T30" s="463">
        <f t="shared" si="7"/>
        <v>0</v>
      </c>
      <c r="U30" s="463">
        <f t="shared" si="7"/>
        <v>0</v>
      </c>
      <c r="V30" s="463">
        <f t="shared" si="7"/>
        <v>0</v>
      </c>
      <c r="W30" s="463">
        <f t="shared" si="7"/>
        <v>0</v>
      </c>
      <c r="X30" s="463">
        <f t="shared" si="5"/>
        <v>0</v>
      </c>
      <c r="Y30" s="463">
        <f t="shared" si="5"/>
        <v>0</v>
      </c>
      <c r="Z30" s="463">
        <f t="shared" si="5"/>
        <v>0</v>
      </c>
      <c r="AA30" s="463">
        <f t="shared" si="5"/>
        <v>0</v>
      </c>
      <c r="AB30" s="463">
        <f t="shared" si="5"/>
        <v>0</v>
      </c>
      <c r="AC30" s="463">
        <f t="shared" si="5"/>
        <v>0</v>
      </c>
      <c r="AD30" s="463">
        <f t="shared" si="6"/>
        <v>0</v>
      </c>
      <c r="AE30" s="463">
        <f t="shared" si="6"/>
        <v>0</v>
      </c>
      <c r="AF30" s="621">
        <f t="shared" si="6"/>
        <v>0</v>
      </c>
      <c r="AG30" s="573"/>
      <c r="AH30" s="464"/>
      <c r="AI30" s="464"/>
      <c r="AJ30" s="464"/>
      <c r="AK30" s="464"/>
      <c r="AL30" s="465"/>
      <c r="AM30" s="463"/>
      <c r="AN30" s="464"/>
      <c r="AO30" s="464"/>
      <c r="AP30" s="464"/>
      <c r="AQ30" s="464"/>
      <c r="AR30" s="465"/>
      <c r="AS30" s="463"/>
      <c r="AT30" s="464"/>
      <c r="AU30" s="464"/>
      <c r="AV30" s="464"/>
      <c r="AW30" s="464"/>
      <c r="AX30" s="465"/>
      <c r="AY30" s="463"/>
      <c r="AZ30" s="464"/>
      <c r="BA30" s="464"/>
      <c r="BB30" s="464"/>
      <c r="BC30" s="464"/>
      <c r="BD30" s="465"/>
      <c r="BE30" s="463"/>
      <c r="BF30" s="464"/>
      <c r="BG30" s="464"/>
      <c r="BH30" s="464"/>
      <c r="BI30" s="464"/>
      <c r="BJ30" s="466"/>
    </row>
    <row r="31" spans="1:62" s="467" customFormat="1" ht="16.5" hidden="1" customHeight="1">
      <c r="A31" s="460" t="s">
        <v>1191</v>
      </c>
      <c r="E31" s="454" t="s">
        <v>1185</v>
      </c>
      <c r="F31" s="455"/>
      <c r="G31" s="456"/>
      <c r="H31" s="457"/>
      <c r="I31" s="458" t="s">
        <v>1197</v>
      </c>
      <c r="J31" s="566" t="s">
        <v>1198</v>
      </c>
      <c r="K31" s="571">
        <v>200</v>
      </c>
      <c r="L31" s="460" t="s">
        <v>1188</v>
      </c>
      <c r="M31" s="463">
        <f t="shared" si="7"/>
        <v>0</v>
      </c>
      <c r="N31" s="463">
        <f t="shared" si="7"/>
        <v>0</v>
      </c>
      <c r="O31" s="463">
        <f t="shared" si="7"/>
        <v>1</v>
      </c>
      <c r="P31" s="463">
        <f t="shared" si="7"/>
        <v>0</v>
      </c>
      <c r="Q31" s="463">
        <f t="shared" si="7"/>
        <v>0</v>
      </c>
      <c r="R31" s="463">
        <f t="shared" si="7"/>
        <v>0</v>
      </c>
      <c r="S31" s="463">
        <f t="shared" si="7"/>
        <v>0</v>
      </c>
      <c r="T31" s="463">
        <f t="shared" si="7"/>
        <v>0</v>
      </c>
      <c r="U31" s="463">
        <f t="shared" si="7"/>
        <v>0</v>
      </c>
      <c r="V31" s="463">
        <f t="shared" si="7"/>
        <v>0</v>
      </c>
      <c r="W31" s="463">
        <f t="shared" si="7"/>
        <v>0</v>
      </c>
      <c r="X31" s="463">
        <f t="shared" si="5"/>
        <v>0</v>
      </c>
      <c r="Y31" s="463">
        <f t="shared" si="5"/>
        <v>0</v>
      </c>
      <c r="Z31" s="463">
        <f t="shared" si="5"/>
        <v>0</v>
      </c>
      <c r="AA31" s="463">
        <f t="shared" si="5"/>
        <v>0</v>
      </c>
      <c r="AB31" s="463">
        <f t="shared" si="5"/>
        <v>0</v>
      </c>
      <c r="AC31" s="463">
        <f t="shared" si="5"/>
        <v>0</v>
      </c>
      <c r="AD31" s="463">
        <f t="shared" si="6"/>
        <v>0</v>
      </c>
      <c r="AE31" s="463">
        <f t="shared" si="6"/>
        <v>0</v>
      </c>
      <c r="AF31" s="621">
        <f t="shared" si="6"/>
        <v>0</v>
      </c>
      <c r="AG31" s="573"/>
      <c r="AH31" s="464"/>
      <c r="AI31" s="464"/>
      <c r="AJ31" s="464"/>
      <c r="AK31" s="464"/>
      <c r="AL31" s="465"/>
      <c r="AM31" s="463"/>
      <c r="AN31" s="464"/>
      <c r="AO31" s="464"/>
      <c r="AP31" s="464"/>
      <c r="AQ31" s="464"/>
      <c r="AR31" s="465"/>
      <c r="AS31" s="463"/>
      <c r="AT31" s="464"/>
      <c r="AU31" s="464"/>
      <c r="AV31" s="464"/>
      <c r="AW31" s="464"/>
      <c r="AX31" s="465"/>
      <c r="AY31" s="463"/>
      <c r="AZ31" s="464"/>
      <c r="BA31" s="464"/>
      <c r="BB31" s="464"/>
      <c r="BC31" s="464"/>
      <c r="BD31" s="465"/>
      <c r="BE31" s="463"/>
      <c r="BF31" s="464"/>
      <c r="BG31" s="464"/>
      <c r="BH31" s="464"/>
      <c r="BI31" s="464"/>
      <c r="BJ31" s="466"/>
    </row>
    <row r="32" spans="1:62" s="467" customFormat="1" ht="16.5" hidden="1" customHeight="1">
      <c r="A32" s="460" t="s">
        <v>1191</v>
      </c>
      <c r="E32" s="454" t="s">
        <v>1185</v>
      </c>
      <c r="F32" s="455"/>
      <c r="G32" s="456"/>
      <c r="H32" s="457"/>
      <c r="I32" s="458" t="s">
        <v>1199</v>
      </c>
      <c r="J32" s="566"/>
      <c r="K32" s="571" t="s">
        <v>1181</v>
      </c>
      <c r="L32" s="460" t="s">
        <v>1190</v>
      </c>
      <c r="M32" s="463">
        <f t="shared" si="7"/>
        <v>0</v>
      </c>
      <c r="N32" s="463">
        <f t="shared" si="7"/>
        <v>0</v>
      </c>
      <c r="O32" s="463">
        <f t="shared" si="7"/>
        <v>0</v>
      </c>
      <c r="P32" s="463">
        <f t="shared" si="7"/>
        <v>0</v>
      </c>
      <c r="Q32" s="463">
        <f t="shared" si="7"/>
        <v>0</v>
      </c>
      <c r="R32" s="463">
        <f t="shared" si="7"/>
        <v>0</v>
      </c>
      <c r="S32" s="463">
        <f t="shared" si="7"/>
        <v>0</v>
      </c>
      <c r="T32" s="463">
        <f t="shared" si="7"/>
        <v>0</v>
      </c>
      <c r="U32" s="463">
        <f t="shared" si="7"/>
        <v>0</v>
      </c>
      <c r="V32" s="463">
        <f t="shared" si="7"/>
        <v>0</v>
      </c>
      <c r="W32" s="463">
        <f t="shared" si="7"/>
        <v>0</v>
      </c>
      <c r="X32" s="463">
        <f t="shared" si="7"/>
        <v>1</v>
      </c>
      <c r="Y32" s="463">
        <f t="shared" si="7"/>
        <v>0</v>
      </c>
      <c r="Z32" s="463">
        <f t="shared" si="7"/>
        <v>0</v>
      </c>
      <c r="AA32" s="463">
        <f t="shared" si="7"/>
        <v>0</v>
      </c>
      <c r="AB32" s="463">
        <f t="shared" si="7"/>
        <v>0</v>
      </c>
      <c r="AC32" s="463">
        <f t="shared" ref="X32:AF45" si="9">+IF($L32=AC$10,IF($K32=AC$11,1,0),0)</f>
        <v>0</v>
      </c>
      <c r="AD32" s="463">
        <f t="shared" si="9"/>
        <v>0</v>
      </c>
      <c r="AE32" s="463">
        <f t="shared" si="9"/>
        <v>0</v>
      </c>
      <c r="AF32" s="621">
        <f t="shared" si="9"/>
        <v>0</v>
      </c>
      <c r="AG32" s="573"/>
      <c r="AH32" s="464"/>
      <c r="AI32" s="464"/>
      <c r="AJ32" s="464"/>
      <c r="AK32" s="464"/>
      <c r="AL32" s="465"/>
      <c r="AM32" s="463"/>
      <c r="AN32" s="464"/>
      <c r="AO32" s="464"/>
      <c r="AP32" s="464"/>
      <c r="AQ32" s="464"/>
      <c r="AR32" s="465"/>
      <c r="AS32" s="463"/>
      <c r="AT32" s="464"/>
      <c r="AU32" s="464"/>
      <c r="AV32" s="464"/>
      <c r="AW32" s="464"/>
      <c r="AX32" s="465"/>
      <c r="AY32" s="463"/>
      <c r="AZ32" s="464"/>
      <c r="BA32" s="464"/>
      <c r="BB32" s="464"/>
      <c r="BC32" s="464"/>
      <c r="BD32" s="465"/>
      <c r="BE32" s="463"/>
      <c r="BF32" s="464"/>
      <c r="BG32" s="464"/>
      <c r="BH32" s="464"/>
      <c r="BI32" s="464"/>
      <c r="BJ32" s="466"/>
    </row>
    <row r="33" spans="1:62" s="467" customFormat="1" ht="16.5" hidden="1" customHeight="1">
      <c r="A33" s="460" t="s">
        <v>1191</v>
      </c>
      <c r="E33" s="454" t="s">
        <v>1185</v>
      </c>
      <c r="F33" s="455"/>
      <c r="G33" s="456"/>
      <c r="H33" s="457"/>
      <c r="I33" s="458" t="s">
        <v>1193</v>
      </c>
      <c r="J33" s="566" t="s">
        <v>1192</v>
      </c>
      <c r="K33" s="571">
        <v>100</v>
      </c>
      <c r="L33" s="460" t="s">
        <v>1188</v>
      </c>
      <c r="M33" s="463">
        <f t="shared" ref="M33:AB48" si="10">+IF($L33=M$10,IF($K33=M$11,1,0),0)</f>
        <v>1</v>
      </c>
      <c r="N33" s="463">
        <f t="shared" si="10"/>
        <v>0</v>
      </c>
      <c r="O33" s="463">
        <f t="shared" si="10"/>
        <v>0</v>
      </c>
      <c r="P33" s="463">
        <f t="shared" si="10"/>
        <v>0</v>
      </c>
      <c r="Q33" s="463">
        <f t="shared" si="10"/>
        <v>0</v>
      </c>
      <c r="R33" s="463">
        <f t="shared" si="10"/>
        <v>0</v>
      </c>
      <c r="S33" s="463">
        <f t="shared" si="10"/>
        <v>0</v>
      </c>
      <c r="T33" s="463">
        <f t="shared" si="10"/>
        <v>0</v>
      </c>
      <c r="U33" s="463">
        <f t="shared" si="10"/>
        <v>0</v>
      </c>
      <c r="V33" s="463">
        <f t="shared" si="10"/>
        <v>0</v>
      </c>
      <c r="W33" s="463">
        <f t="shared" si="10"/>
        <v>0</v>
      </c>
      <c r="X33" s="463">
        <f t="shared" si="9"/>
        <v>0</v>
      </c>
      <c r="Y33" s="463">
        <f t="shared" si="9"/>
        <v>0</v>
      </c>
      <c r="Z33" s="463">
        <f t="shared" si="9"/>
        <v>0</v>
      </c>
      <c r="AA33" s="463">
        <f t="shared" si="9"/>
        <v>0</v>
      </c>
      <c r="AB33" s="463">
        <f t="shared" si="9"/>
        <v>0</v>
      </c>
      <c r="AC33" s="463">
        <f t="shared" si="9"/>
        <v>0</v>
      </c>
      <c r="AD33" s="463">
        <f t="shared" si="9"/>
        <v>0</v>
      </c>
      <c r="AE33" s="463">
        <f t="shared" si="9"/>
        <v>0</v>
      </c>
      <c r="AF33" s="621">
        <f t="shared" si="9"/>
        <v>0</v>
      </c>
      <c r="AG33" s="573"/>
      <c r="AH33" s="464"/>
      <c r="AI33" s="464"/>
      <c r="AJ33" s="464"/>
      <c r="AK33" s="464"/>
      <c r="AL33" s="465"/>
      <c r="AM33" s="463"/>
      <c r="AN33" s="464"/>
      <c r="AO33" s="464"/>
      <c r="AP33" s="464"/>
      <c r="AQ33" s="464"/>
      <c r="AR33" s="465"/>
      <c r="AS33" s="463"/>
      <c r="AT33" s="464"/>
      <c r="AU33" s="464"/>
      <c r="AV33" s="464"/>
      <c r="AW33" s="464"/>
      <c r="AX33" s="465"/>
      <c r="AY33" s="463"/>
      <c r="AZ33" s="464"/>
      <c r="BA33" s="464"/>
      <c r="BB33" s="464"/>
      <c r="BC33" s="464"/>
      <c r="BD33" s="465"/>
      <c r="BE33" s="463"/>
      <c r="BF33" s="464"/>
      <c r="BG33" s="464"/>
      <c r="BH33" s="464"/>
      <c r="BI33" s="464"/>
      <c r="BJ33" s="466"/>
    </row>
    <row r="34" spans="1:62" s="467" customFormat="1" ht="16.5" hidden="1" customHeight="1">
      <c r="A34" s="460" t="s">
        <v>1191</v>
      </c>
      <c r="E34" s="454" t="s">
        <v>1185</v>
      </c>
      <c r="F34" s="455"/>
      <c r="G34" s="456"/>
      <c r="H34" s="457"/>
      <c r="I34" s="458" t="s">
        <v>1193</v>
      </c>
      <c r="J34" s="566" t="s">
        <v>1192</v>
      </c>
      <c r="K34" s="571">
        <v>350</v>
      </c>
      <c r="L34" s="460" t="s">
        <v>1188</v>
      </c>
      <c r="M34" s="463">
        <f t="shared" si="10"/>
        <v>0</v>
      </c>
      <c r="N34" s="463">
        <f t="shared" si="10"/>
        <v>0</v>
      </c>
      <c r="O34" s="463">
        <f t="shared" si="10"/>
        <v>0</v>
      </c>
      <c r="P34" s="463">
        <f t="shared" si="10"/>
        <v>0</v>
      </c>
      <c r="Q34" s="463">
        <f t="shared" si="10"/>
        <v>0</v>
      </c>
      <c r="R34" s="463">
        <f t="shared" si="10"/>
        <v>1</v>
      </c>
      <c r="S34" s="463">
        <f t="shared" si="10"/>
        <v>0</v>
      </c>
      <c r="T34" s="463">
        <f t="shared" si="10"/>
        <v>0</v>
      </c>
      <c r="U34" s="463">
        <f t="shared" si="10"/>
        <v>0</v>
      </c>
      <c r="V34" s="463">
        <f t="shared" si="10"/>
        <v>0</v>
      </c>
      <c r="W34" s="463">
        <f t="shared" si="10"/>
        <v>0</v>
      </c>
      <c r="X34" s="463">
        <f t="shared" si="9"/>
        <v>0</v>
      </c>
      <c r="Y34" s="463">
        <f t="shared" si="9"/>
        <v>0</v>
      </c>
      <c r="Z34" s="463">
        <f t="shared" si="9"/>
        <v>0</v>
      </c>
      <c r="AA34" s="463">
        <f t="shared" si="9"/>
        <v>0</v>
      </c>
      <c r="AB34" s="463">
        <f t="shared" si="9"/>
        <v>0</v>
      </c>
      <c r="AC34" s="463">
        <f t="shared" si="9"/>
        <v>0</v>
      </c>
      <c r="AD34" s="463">
        <f t="shared" si="9"/>
        <v>0</v>
      </c>
      <c r="AE34" s="463">
        <f t="shared" si="9"/>
        <v>0</v>
      </c>
      <c r="AF34" s="621">
        <f t="shared" si="9"/>
        <v>0</v>
      </c>
      <c r="AG34" s="573"/>
      <c r="AH34" s="464"/>
      <c r="AI34" s="464"/>
      <c r="AJ34" s="464"/>
      <c r="AK34" s="464"/>
      <c r="AL34" s="465"/>
      <c r="AM34" s="463"/>
      <c r="AN34" s="464"/>
      <c r="AO34" s="464"/>
      <c r="AP34" s="464"/>
      <c r="AQ34" s="464"/>
      <c r="AR34" s="465"/>
      <c r="AS34" s="463"/>
      <c r="AT34" s="464"/>
      <c r="AU34" s="464"/>
      <c r="AV34" s="464"/>
      <c r="AW34" s="464"/>
      <c r="AX34" s="465"/>
      <c r="AY34" s="463"/>
      <c r="AZ34" s="464"/>
      <c r="BA34" s="464"/>
      <c r="BB34" s="464"/>
      <c r="BC34" s="464"/>
      <c r="BD34" s="465"/>
      <c r="BE34" s="463"/>
      <c r="BF34" s="464"/>
      <c r="BG34" s="464"/>
      <c r="BH34" s="464"/>
      <c r="BI34" s="464"/>
      <c r="BJ34" s="466"/>
    </row>
    <row r="35" spans="1:62" s="467" customFormat="1" ht="16.5" hidden="1" customHeight="1">
      <c r="A35" s="460" t="s">
        <v>1191</v>
      </c>
      <c r="E35" s="454" t="s">
        <v>1185</v>
      </c>
      <c r="F35" s="455"/>
      <c r="G35" s="456"/>
      <c r="H35" s="457"/>
      <c r="I35" s="458" t="s">
        <v>1197</v>
      </c>
      <c r="J35" s="566" t="s">
        <v>1196</v>
      </c>
      <c r="K35" s="571">
        <v>200</v>
      </c>
      <c r="L35" s="460" t="s">
        <v>1188</v>
      </c>
      <c r="M35" s="463">
        <f t="shared" si="10"/>
        <v>0</v>
      </c>
      <c r="N35" s="463">
        <f t="shared" si="10"/>
        <v>0</v>
      </c>
      <c r="O35" s="463">
        <f t="shared" si="10"/>
        <v>1</v>
      </c>
      <c r="P35" s="463">
        <f t="shared" si="10"/>
        <v>0</v>
      </c>
      <c r="Q35" s="463">
        <f t="shared" si="10"/>
        <v>0</v>
      </c>
      <c r="R35" s="463">
        <f t="shared" si="10"/>
        <v>0</v>
      </c>
      <c r="S35" s="463">
        <f t="shared" si="10"/>
        <v>0</v>
      </c>
      <c r="T35" s="463">
        <f t="shared" si="10"/>
        <v>0</v>
      </c>
      <c r="U35" s="463">
        <f t="shared" si="10"/>
        <v>0</v>
      </c>
      <c r="V35" s="463">
        <f t="shared" si="10"/>
        <v>0</v>
      </c>
      <c r="W35" s="463">
        <f t="shared" si="10"/>
        <v>0</v>
      </c>
      <c r="X35" s="463">
        <f t="shared" si="9"/>
        <v>0</v>
      </c>
      <c r="Y35" s="463">
        <f t="shared" si="9"/>
        <v>0</v>
      </c>
      <c r="Z35" s="463">
        <f t="shared" si="9"/>
        <v>0</v>
      </c>
      <c r="AA35" s="463">
        <f t="shared" si="9"/>
        <v>0</v>
      </c>
      <c r="AB35" s="463">
        <f t="shared" si="9"/>
        <v>0</v>
      </c>
      <c r="AC35" s="463">
        <f t="shared" si="9"/>
        <v>0</v>
      </c>
      <c r="AD35" s="463">
        <f t="shared" si="9"/>
        <v>0</v>
      </c>
      <c r="AE35" s="463">
        <f t="shared" si="9"/>
        <v>0</v>
      </c>
      <c r="AF35" s="621">
        <f t="shared" si="9"/>
        <v>0</v>
      </c>
      <c r="AG35" s="573"/>
      <c r="AH35" s="464"/>
      <c r="AI35" s="464"/>
      <c r="AJ35" s="464"/>
      <c r="AK35" s="464"/>
      <c r="AL35" s="465"/>
      <c r="AM35" s="463"/>
      <c r="AN35" s="464"/>
      <c r="AO35" s="464"/>
      <c r="AP35" s="464"/>
      <c r="AQ35" s="464"/>
      <c r="AR35" s="465"/>
      <c r="AS35" s="463"/>
      <c r="AT35" s="464"/>
      <c r="AU35" s="464"/>
      <c r="AV35" s="464"/>
      <c r="AW35" s="464"/>
      <c r="AX35" s="465"/>
      <c r="AY35" s="463"/>
      <c r="AZ35" s="464"/>
      <c r="BA35" s="464"/>
      <c r="BB35" s="464"/>
      <c r="BC35" s="464"/>
      <c r="BD35" s="465"/>
      <c r="BE35" s="463"/>
      <c r="BF35" s="464"/>
      <c r="BG35" s="464"/>
      <c r="BH35" s="464"/>
      <c r="BI35" s="464"/>
      <c r="BJ35" s="466"/>
    </row>
    <row r="36" spans="1:62" s="467" customFormat="1" ht="16.5" hidden="1" customHeight="1">
      <c r="A36" s="460" t="s">
        <v>1191</v>
      </c>
      <c r="E36" s="454" t="s">
        <v>1185</v>
      </c>
      <c r="F36" s="455"/>
      <c r="G36" s="456"/>
      <c r="H36" s="457"/>
      <c r="I36" s="458" t="s">
        <v>1193</v>
      </c>
      <c r="J36" s="566" t="s">
        <v>1192</v>
      </c>
      <c r="K36" s="571">
        <v>350</v>
      </c>
      <c r="L36" s="460" t="s">
        <v>1188</v>
      </c>
      <c r="M36" s="463">
        <f t="shared" si="10"/>
        <v>0</v>
      </c>
      <c r="N36" s="463">
        <f t="shared" si="10"/>
        <v>0</v>
      </c>
      <c r="O36" s="463">
        <f t="shared" si="10"/>
        <v>0</v>
      </c>
      <c r="P36" s="463">
        <f t="shared" si="10"/>
        <v>0</v>
      </c>
      <c r="Q36" s="463">
        <f t="shared" si="10"/>
        <v>0</v>
      </c>
      <c r="R36" s="463">
        <f t="shared" si="10"/>
        <v>1</v>
      </c>
      <c r="S36" s="463">
        <f t="shared" si="10"/>
        <v>0</v>
      </c>
      <c r="T36" s="463">
        <f t="shared" si="10"/>
        <v>0</v>
      </c>
      <c r="U36" s="463">
        <f t="shared" si="10"/>
        <v>0</v>
      </c>
      <c r="V36" s="463">
        <f t="shared" si="10"/>
        <v>0</v>
      </c>
      <c r="W36" s="463">
        <f t="shared" si="10"/>
        <v>0</v>
      </c>
      <c r="X36" s="463">
        <f t="shared" si="9"/>
        <v>0</v>
      </c>
      <c r="Y36" s="463">
        <f t="shared" si="9"/>
        <v>0</v>
      </c>
      <c r="Z36" s="463">
        <f t="shared" si="9"/>
        <v>0</v>
      </c>
      <c r="AA36" s="463">
        <f t="shared" si="9"/>
        <v>0</v>
      </c>
      <c r="AB36" s="463">
        <f t="shared" si="9"/>
        <v>0</v>
      </c>
      <c r="AC36" s="463">
        <f t="shared" si="9"/>
        <v>0</v>
      </c>
      <c r="AD36" s="463">
        <f t="shared" si="9"/>
        <v>0</v>
      </c>
      <c r="AE36" s="463">
        <f t="shared" si="9"/>
        <v>0</v>
      </c>
      <c r="AF36" s="621">
        <f t="shared" si="9"/>
        <v>0</v>
      </c>
      <c r="AG36" s="573"/>
      <c r="AH36" s="464"/>
      <c r="AI36" s="464"/>
      <c r="AJ36" s="464"/>
      <c r="AK36" s="464"/>
      <c r="AL36" s="465"/>
      <c r="AM36" s="463"/>
      <c r="AN36" s="464"/>
      <c r="AO36" s="464"/>
      <c r="AP36" s="464"/>
      <c r="AQ36" s="464"/>
      <c r="AR36" s="465"/>
      <c r="AS36" s="463"/>
      <c r="AT36" s="464"/>
      <c r="AU36" s="464"/>
      <c r="AV36" s="464"/>
      <c r="AW36" s="464"/>
      <c r="AX36" s="465"/>
      <c r="AY36" s="463"/>
      <c r="AZ36" s="464"/>
      <c r="BA36" s="464"/>
      <c r="BB36" s="464"/>
      <c r="BC36" s="464"/>
      <c r="BD36" s="465"/>
      <c r="BE36" s="463"/>
      <c r="BF36" s="464"/>
      <c r="BG36" s="464"/>
      <c r="BH36" s="464"/>
      <c r="BI36" s="464"/>
      <c r="BJ36" s="466"/>
    </row>
    <row r="37" spans="1:62" s="467" customFormat="1" ht="16.5" hidden="1" customHeight="1">
      <c r="A37" s="460" t="s">
        <v>1191</v>
      </c>
      <c r="E37" s="454" t="s">
        <v>1185</v>
      </c>
      <c r="F37" s="455"/>
      <c r="G37" s="456"/>
      <c r="H37" s="457"/>
      <c r="I37" s="458" t="s">
        <v>1193</v>
      </c>
      <c r="J37" s="566" t="s">
        <v>1192</v>
      </c>
      <c r="K37" s="571">
        <v>350</v>
      </c>
      <c r="L37" s="460" t="s">
        <v>1188</v>
      </c>
      <c r="M37" s="463">
        <f t="shared" si="10"/>
        <v>0</v>
      </c>
      <c r="N37" s="463">
        <f t="shared" si="10"/>
        <v>0</v>
      </c>
      <c r="O37" s="463">
        <f t="shared" si="10"/>
        <v>0</v>
      </c>
      <c r="P37" s="463">
        <f t="shared" si="10"/>
        <v>0</v>
      </c>
      <c r="Q37" s="463">
        <f t="shared" si="10"/>
        <v>0</v>
      </c>
      <c r="R37" s="463">
        <f t="shared" si="10"/>
        <v>1</v>
      </c>
      <c r="S37" s="463">
        <f t="shared" si="10"/>
        <v>0</v>
      </c>
      <c r="T37" s="463">
        <f t="shared" si="10"/>
        <v>0</v>
      </c>
      <c r="U37" s="463">
        <f t="shared" si="10"/>
        <v>0</v>
      </c>
      <c r="V37" s="463">
        <f t="shared" si="10"/>
        <v>0</v>
      </c>
      <c r="W37" s="463">
        <f t="shared" si="10"/>
        <v>0</v>
      </c>
      <c r="X37" s="463">
        <f t="shared" si="9"/>
        <v>0</v>
      </c>
      <c r="Y37" s="463">
        <f t="shared" si="9"/>
        <v>0</v>
      </c>
      <c r="Z37" s="463">
        <f t="shared" si="9"/>
        <v>0</v>
      </c>
      <c r="AA37" s="463">
        <f t="shared" si="9"/>
        <v>0</v>
      </c>
      <c r="AB37" s="463">
        <f t="shared" si="9"/>
        <v>0</v>
      </c>
      <c r="AC37" s="463">
        <f t="shared" si="9"/>
        <v>0</v>
      </c>
      <c r="AD37" s="463">
        <f t="shared" si="9"/>
        <v>0</v>
      </c>
      <c r="AE37" s="463">
        <f t="shared" si="9"/>
        <v>0</v>
      </c>
      <c r="AF37" s="621">
        <f t="shared" si="9"/>
        <v>0</v>
      </c>
      <c r="AG37" s="573"/>
      <c r="AH37" s="464"/>
      <c r="AI37" s="464"/>
      <c r="AJ37" s="464"/>
      <c r="AK37" s="464"/>
      <c r="AL37" s="465"/>
      <c r="AM37" s="463"/>
      <c r="AN37" s="464"/>
      <c r="AO37" s="464"/>
      <c r="AP37" s="464"/>
      <c r="AQ37" s="464"/>
      <c r="AR37" s="465"/>
      <c r="AS37" s="463"/>
      <c r="AT37" s="464"/>
      <c r="AU37" s="464"/>
      <c r="AV37" s="464"/>
      <c r="AW37" s="464"/>
      <c r="AX37" s="465"/>
      <c r="AY37" s="463"/>
      <c r="AZ37" s="464"/>
      <c r="BA37" s="464"/>
      <c r="BB37" s="464"/>
      <c r="BC37" s="464"/>
      <c r="BD37" s="465"/>
      <c r="BE37" s="463"/>
      <c r="BF37" s="464"/>
      <c r="BG37" s="464"/>
      <c r="BH37" s="464"/>
      <c r="BI37" s="464"/>
      <c r="BJ37" s="466"/>
    </row>
    <row r="38" spans="1:62" s="467" customFormat="1" ht="16.5" hidden="1" customHeight="1">
      <c r="A38" s="460" t="s">
        <v>1191</v>
      </c>
      <c r="E38" s="454" t="s">
        <v>1185</v>
      </c>
      <c r="F38" s="455"/>
      <c r="G38" s="456"/>
      <c r="H38" s="457"/>
      <c r="I38" s="458" t="s">
        <v>1201</v>
      </c>
      <c r="J38" s="566" t="s">
        <v>1196</v>
      </c>
      <c r="K38" s="571">
        <v>350</v>
      </c>
      <c r="L38" s="460" t="s">
        <v>1188</v>
      </c>
      <c r="M38" s="463">
        <f t="shared" si="10"/>
        <v>0</v>
      </c>
      <c r="N38" s="463">
        <f t="shared" si="10"/>
        <v>0</v>
      </c>
      <c r="O38" s="463">
        <f t="shared" si="10"/>
        <v>0</v>
      </c>
      <c r="P38" s="463">
        <f t="shared" si="10"/>
        <v>0</v>
      </c>
      <c r="Q38" s="463">
        <f t="shared" si="10"/>
        <v>0</v>
      </c>
      <c r="R38" s="463">
        <f t="shared" si="10"/>
        <v>1</v>
      </c>
      <c r="S38" s="463">
        <f t="shared" si="10"/>
        <v>0</v>
      </c>
      <c r="T38" s="463">
        <f t="shared" si="10"/>
        <v>0</v>
      </c>
      <c r="U38" s="463">
        <f t="shared" si="10"/>
        <v>0</v>
      </c>
      <c r="V38" s="463">
        <f t="shared" si="10"/>
        <v>0</v>
      </c>
      <c r="W38" s="463">
        <f t="shared" si="10"/>
        <v>0</v>
      </c>
      <c r="X38" s="463">
        <f t="shared" si="9"/>
        <v>0</v>
      </c>
      <c r="Y38" s="463">
        <f t="shared" si="9"/>
        <v>0</v>
      </c>
      <c r="Z38" s="463">
        <f t="shared" si="9"/>
        <v>0</v>
      </c>
      <c r="AA38" s="463">
        <f t="shared" si="9"/>
        <v>0</v>
      </c>
      <c r="AB38" s="463">
        <f t="shared" si="9"/>
        <v>0</v>
      </c>
      <c r="AC38" s="463">
        <f t="shared" si="9"/>
        <v>0</v>
      </c>
      <c r="AD38" s="463">
        <f t="shared" si="9"/>
        <v>0</v>
      </c>
      <c r="AE38" s="463">
        <f t="shared" si="9"/>
        <v>0</v>
      </c>
      <c r="AF38" s="621">
        <f t="shared" si="9"/>
        <v>0</v>
      </c>
      <c r="AG38" s="573"/>
      <c r="AH38" s="464"/>
      <c r="AI38" s="464"/>
      <c r="AJ38" s="464"/>
      <c r="AK38" s="464"/>
      <c r="AL38" s="465"/>
      <c r="AM38" s="463"/>
      <c r="AN38" s="464"/>
      <c r="AO38" s="464"/>
      <c r="AP38" s="464"/>
      <c r="AQ38" s="464"/>
      <c r="AR38" s="465"/>
      <c r="AS38" s="463"/>
      <c r="AT38" s="464"/>
      <c r="AU38" s="464"/>
      <c r="AV38" s="464"/>
      <c r="AW38" s="464"/>
      <c r="AX38" s="465"/>
      <c r="AY38" s="463"/>
      <c r="AZ38" s="464"/>
      <c r="BA38" s="464"/>
      <c r="BB38" s="464"/>
      <c r="BC38" s="464"/>
      <c r="BD38" s="465"/>
      <c r="BE38" s="463"/>
      <c r="BF38" s="464"/>
      <c r="BG38" s="464"/>
      <c r="BH38" s="464"/>
      <c r="BI38" s="464"/>
      <c r="BJ38" s="466"/>
    </row>
    <row r="39" spans="1:62" s="467" customFormat="1" ht="16.5" hidden="1" customHeight="1">
      <c r="A39" s="460" t="s">
        <v>1191</v>
      </c>
      <c r="E39" s="454" t="s">
        <v>1185</v>
      </c>
      <c r="F39" s="455"/>
      <c r="G39" s="456"/>
      <c r="H39" s="457"/>
      <c r="I39" s="458" t="s">
        <v>1202</v>
      </c>
      <c r="J39" s="566"/>
      <c r="K39" s="571">
        <v>250</v>
      </c>
      <c r="L39" s="460" t="s">
        <v>1188</v>
      </c>
      <c r="M39" s="463">
        <f t="shared" si="10"/>
        <v>0</v>
      </c>
      <c r="N39" s="463">
        <f t="shared" si="10"/>
        <v>0</v>
      </c>
      <c r="O39" s="463">
        <f t="shared" si="10"/>
        <v>0</v>
      </c>
      <c r="P39" s="463">
        <f t="shared" si="10"/>
        <v>1</v>
      </c>
      <c r="Q39" s="463">
        <f t="shared" si="10"/>
        <v>0</v>
      </c>
      <c r="R39" s="463">
        <f t="shared" si="10"/>
        <v>0</v>
      </c>
      <c r="S39" s="463">
        <f t="shared" si="10"/>
        <v>0</v>
      </c>
      <c r="T39" s="463">
        <f t="shared" si="10"/>
        <v>0</v>
      </c>
      <c r="U39" s="463">
        <f t="shared" si="10"/>
        <v>0</v>
      </c>
      <c r="V39" s="463">
        <f t="shared" si="10"/>
        <v>0</v>
      </c>
      <c r="W39" s="463">
        <f t="shared" si="10"/>
        <v>0</v>
      </c>
      <c r="X39" s="463">
        <f t="shared" si="9"/>
        <v>0</v>
      </c>
      <c r="Y39" s="463">
        <f t="shared" si="9"/>
        <v>0</v>
      </c>
      <c r="Z39" s="463">
        <f t="shared" si="9"/>
        <v>0</v>
      </c>
      <c r="AA39" s="463">
        <f t="shared" si="9"/>
        <v>0</v>
      </c>
      <c r="AB39" s="463">
        <f t="shared" si="9"/>
        <v>0</v>
      </c>
      <c r="AC39" s="463">
        <f t="shared" si="9"/>
        <v>0</v>
      </c>
      <c r="AD39" s="463">
        <f t="shared" si="9"/>
        <v>0</v>
      </c>
      <c r="AE39" s="463">
        <f t="shared" si="9"/>
        <v>0</v>
      </c>
      <c r="AF39" s="621">
        <f t="shared" si="9"/>
        <v>0</v>
      </c>
      <c r="AG39" s="573"/>
      <c r="AH39" s="464"/>
      <c r="AI39" s="464"/>
      <c r="AJ39" s="464"/>
      <c r="AK39" s="464"/>
      <c r="AL39" s="465"/>
      <c r="AM39" s="463"/>
      <c r="AN39" s="464"/>
      <c r="AO39" s="464"/>
      <c r="AP39" s="464"/>
      <c r="AQ39" s="464"/>
      <c r="AR39" s="465"/>
      <c r="AS39" s="463"/>
      <c r="AT39" s="464"/>
      <c r="AU39" s="464"/>
      <c r="AV39" s="464"/>
      <c r="AW39" s="464"/>
      <c r="AX39" s="465"/>
      <c r="AY39" s="463"/>
      <c r="AZ39" s="464"/>
      <c r="BA39" s="464"/>
      <c r="BB39" s="464"/>
      <c r="BC39" s="464"/>
      <c r="BD39" s="465"/>
      <c r="BE39" s="463"/>
      <c r="BF39" s="464"/>
      <c r="BG39" s="464"/>
      <c r="BH39" s="464"/>
      <c r="BI39" s="464"/>
      <c r="BJ39" s="466"/>
    </row>
    <row r="40" spans="1:62" s="467" customFormat="1" ht="16.5" hidden="1" customHeight="1">
      <c r="A40" s="460" t="s">
        <v>1191</v>
      </c>
      <c r="E40" s="454" t="s">
        <v>1185</v>
      </c>
      <c r="F40" s="455"/>
      <c r="G40" s="456"/>
      <c r="H40" s="457"/>
      <c r="I40" s="458" t="s">
        <v>1194</v>
      </c>
      <c r="J40" s="566"/>
      <c r="K40" s="571">
        <v>250</v>
      </c>
      <c r="L40" s="460" t="s">
        <v>1188</v>
      </c>
      <c r="M40" s="463">
        <f t="shared" si="10"/>
        <v>0</v>
      </c>
      <c r="N40" s="463">
        <f t="shared" si="10"/>
        <v>0</v>
      </c>
      <c r="O40" s="463">
        <f t="shared" si="10"/>
        <v>0</v>
      </c>
      <c r="P40" s="463">
        <f t="shared" si="10"/>
        <v>1</v>
      </c>
      <c r="Q40" s="463">
        <f t="shared" si="10"/>
        <v>0</v>
      </c>
      <c r="R40" s="463">
        <f t="shared" si="10"/>
        <v>0</v>
      </c>
      <c r="S40" s="463">
        <f t="shared" si="10"/>
        <v>0</v>
      </c>
      <c r="T40" s="463">
        <f t="shared" si="10"/>
        <v>0</v>
      </c>
      <c r="U40" s="463">
        <f t="shared" si="10"/>
        <v>0</v>
      </c>
      <c r="V40" s="463">
        <f t="shared" si="10"/>
        <v>0</v>
      </c>
      <c r="W40" s="463">
        <f t="shared" si="10"/>
        <v>0</v>
      </c>
      <c r="X40" s="463">
        <f t="shared" si="9"/>
        <v>0</v>
      </c>
      <c r="Y40" s="463">
        <f t="shared" si="9"/>
        <v>0</v>
      </c>
      <c r="Z40" s="463">
        <f t="shared" si="9"/>
        <v>0</v>
      </c>
      <c r="AA40" s="463">
        <f t="shared" si="9"/>
        <v>0</v>
      </c>
      <c r="AB40" s="463">
        <f t="shared" si="9"/>
        <v>0</v>
      </c>
      <c r="AC40" s="463">
        <f t="shared" si="9"/>
        <v>0</v>
      </c>
      <c r="AD40" s="463">
        <f t="shared" si="9"/>
        <v>0</v>
      </c>
      <c r="AE40" s="463">
        <f t="shared" si="9"/>
        <v>0</v>
      </c>
      <c r="AF40" s="621">
        <f t="shared" si="9"/>
        <v>0</v>
      </c>
      <c r="AG40" s="573"/>
      <c r="AH40" s="464"/>
      <c r="AI40" s="464"/>
      <c r="AJ40" s="464"/>
      <c r="AK40" s="464"/>
      <c r="AL40" s="465"/>
      <c r="AM40" s="463"/>
      <c r="AN40" s="464"/>
      <c r="AO40" s="464"/>
      <c r="AP40" s="464"/>
      <c r="AQ40" s="464"/>
      <c r="AR40" s="465"/>
      <c r="AS40" s="463"/>
      <c r="AT40" s="464"/>
      <c r="AU40" s="464"/>
      <c r="AV40" s="464"/>
      <c r="AW40" s="464"/>
      <c r="AX40" s="465"/>
      <c r="AY40" s="463"/>
      <c r="AZ40" s="464"/>
      <c r="BA40" s="464"/>
      <c r="BB40" s="464"/>
      <c r="BC40" s="464"/>
      <c r="BD40" s="465"/>
      <c r="BE40" s="463"/>
      <c r="BF40" s="464"/>
      <c r="BG40" s="464"/>
      <c r="BH40" s="464"/>
      <c r="BI40" s="464"/>
      <c r="BJ40" s="466"/>
    </row>
    <row r="41" spans="1:62" s="467" customFormat="1" ht="16.5" hidden="1" customHeight="1">
      <c r="A41" s="572"/>
      <c r="E41" s="454"/>
      <c r="F41" s="455"/>
      <c r="G41" s="456"/>
      <c r="H41" s="457"/>
      <c r="I41" s="458"/>
      <c r="J41" s="566"/>
      <c r="K41" s="571"/>
      <c r="L41" s="460"/>
      <c r="M41" s="463">
        <f t="shared" si="10"/>
        <v>0</v>
      </c>
      <c r="N41" s="463">
        <f t="shared" si="10"/>
        <v>0</v>
      </c>
      <c r="O41" s="463">
        <f t="shared" si="10"/>
        <v>0</v>
      </c>
      <c r="P41" s="463">
        <f t="shared" si="10"/>
        <v>0</v>
      </c>
      <c r="Q41" s="463">
        <f t="shared" si="10"/>
        <v>0</v>
      </c>
      <c r="R41" s="463">
        <f t="shared" si="10"/>
        <v>0</v>
      </c>
      <c r="S41" s="463">
        <f t="shared" si="10"/>
        <v>0</v>
      </c>
      <c r="T41" s="463">
        <f t="shared" si="10"/>
        <v>0</v>
      </c>
      <c r="U41" s="463">
        <f t="shared" si="10"/>
        <v>0</v>
      </c>
      <c r="V41" s="463">
        <f t="shared" si="10"/>
        <v>0</v>
      </c>
      <c r="W41" s="463">
        <f t="shared" si="10"/>
        <v>0</v>
      </c>
      <c r="X41" s="463">
        <f t="shared" si="9"/>
        <v>0</v>
      </c>
      <c r="Y41" s="463">
        <f t="shared" si="9"/>
        <v>0</v>
      </c>
      <c r="Z41" s="463">
        <f t="shared" si="9"/>
        <v>0</v>
      </c>
      <c r="AA41" s="463">
        <f t="shared" si="9"/>
        <v>0</v>
      </c>
      <c r="AB41" s="463">
        <f t="shared" si="9"/>
        <v>0</v>
      </c>
      <c r="AC41" s="463">
        <f t="shared" si="9"/>
        <v>0</v>
      </c>
      <c r="AD41" s="463">
        <f t="shared" si="9"/>
        <v>0</v>
      </c>
      <c r="AE41" s="463">
        <f t="shared" si="9"/>
        <v>0</v>
      </c>
      <c r="AF41" s="621">
        <f t="shared" si="9"/>
        <v>0</v>
      </c>
      <c r="AG41" s="573"/>
      <c r="AH41" s="464"/>
      <c r="AI41" s="464"/>
      <c r="AJ41" s="464"/>
      <c r="AK41" s="464"/>
      <c r="AL41" s="465"/>
      <c r="AM41" s="463"/>
      <c r="AN41" s="464"/>
      <c r="AO41" s="464"/>
      <c r="AP41" s="464"/>
      <c r="AQ41" s="464"/>
      <c r="AR41" s="465"/>
      <c r="AS41" s="463"/>
      <c r="AT41" s="464"/>
      <c r="AU41" s="464"/>
      <c r="AV41" s="464"/>
      <c r="AW41" s="464"/>
      <c r="AX41" s="465"/>
      <c r="AY41" s="463"/>
      <c r="AZ41" s="464"/>
      <c r="BA41" s="464"/>
      <c r="BB41" s="464"/>
      <c r="BC41" s="464"/>
      <c r="BD41" s="465"/>
      <c r="BE41" s="463"/>
      <c r="BF41" s="464"/>
      <c r="BG41" s="464"/>
      <c r="BH41" s="464"/>
      <c r="BI41" s="464"/>
      <c r="BJ41" s="466"/>
    </row>
    <row r="42" spans="1:62" s="467" customFormat="1" ht="16.5" hidden="1" customHeight="1">
      <c r="A42" s="460" t="s">
        <v>1191</v>
      </c>
      <c r="E42" s="454" t="s">
        <v>1186</v>
      </c>
      <c r="F42" s="455"/>
      <c r="G42" s="456"/>
      <c r="H42" s="457"/>
      <c r="I42" s="458" t="s">
        <v>1197</v>
      </c>
      <c r="J42" s="566" t="s">
        <v>1196</v>
      </c>
      <c r="K42" s="571">
        <v>200</v>
      </c>
      <c r="L42" s="460" t="s">
        <v>1188</v>
      </c>
      <c r="M42" s="463">
        <f t="shared" si="10"/>
        <v>0</v>
      </c>
      <c r="N42" s="463">
        <f t="shared" si="10"/>
        <v>0</v>
      </c>
      <c r="O42" s="463">
        <f t="shared" si="10"/>
        <v>1</v>
      </c>
      <c r="P42" s="463">
        <f t="shared" si="10"/>
        <v>0</v>
      </c>
      <c r="Q42" s="463">
        <f t="shared" si="10"/>
        <v>0</v>
      </c>
      <c r="R42" s="463">
        <f t="shared" si="10"/>
        <v>0</v>
      </c>
      <c r="S42" s="463">
        <f t="shared" si="10"/>
        <v>0</v>
      </c>
      <c r="T42" s="463">
        <f t="shared" si="10"/>
        <v>0</v>
      </c>
      <c r="U42" s="463">
        <f t="shared" si="10"/>
        <v>0</v>
      </c>
      <c r="V42" s="463">
        <f t="shared" si="10"/>
        <v>0</v>
      </c>
      <c r="W42" s="463">
        <f t="shared" si="10"/>
        <v>0</v>
      </c>
      <c r="X42" s="463">
        <f t="shared" si="9"/>
        <v>0</v>
      </c>
      <c r="Y42" s="463">
        <f t="shared" si="9"/>
        <v>0</v>
      </c>
      <c r="Z42" s="463">
        <f t="shared" si="9"/>
        <v>0</v>
      </c>
      <c r="AA42" s="463">
        <f t="shared" si="9"/>
        <v>0</v>
      </c>
      <c r="AB42" s="463">
        <f t="shared" si="9"/>
        <v>0</v>
      </c>
      <c r="AC42" s="463">
        <f t="shared" si="9"/>
        <v>0</v>
      </c>
      <c r="AD42" s="463">
        <f t="shared" si="9"/>
        <v>0</v>
      </c>
      <c r="AE42" s="463">
        <f t="shared" si="9"/>
        <v>0</v>
      </c>
      <c r="AF42" s="621">
        <f t="shared" si="9"/>
        <v>0</v>
      </c>
      <c r="AG42" s="573"/>
      <c r="AH42" s="464"/>
      <c r="AI42" s="464"/>
      <c r="AJ42" s="464"/>
      <c r="AK42" s="464"/>
      <c r="AL42" s="465"/>
      <c r="AM42" s="463"/>
      <c r="AN42" s="464"/>
      <c r="AO42" s="464"/>
      <c r="AP42" s="464"/>
      <c r="AQ42" s="464"/>
      <c r="AR42" s="465"/>
      <c r="AS42" s="463"/>
      <c r="AT42" s="464"/>
      <c r="AU42" s="464"/>
      <c r="AV42" s="464"/>
      <c r="AW42" s="464"/>
      <c r="AX42" s="465"/>
      <c r="AY42" s="463"/>
      <c r="AZ42" s="464"/>
      <c r="BA42" s="464"/>
      <c r="BB42" s="464"/>
      <c r="BC42" s="464"/>
      <c r="BD42" s="465"/>
      <c r="BE42" s="463"/>
      <c r="BF42" s="464"/>
      <c r="BG42" s="464"/>
      <c r="BH42" s="464"/>
      <c r="BI42" s="464"/>
      <c r="BJ42" s="466"/>
    </row>
    <row r="43" spans="1:62" s="467" customFormat="1" ht="16.5" hidden="1" customHeight="1">
      <c r="A43" s="572"/>
      <c r="E43" s="454" t="s">
        <v>1186</v>
      </c>
      <c r="F43" s="455"/>
      <c r="G43" s="456"/>
      <c r="H43" s="457"/>
      <c r="I43" s="458" t="s">
        <v>1193</v>
      </c>
      <c r="J43" s="566" t="s">
        <v>1192</v>
      </c>
      <c r="K43" s="571">
        <v>100</v>
      </c>
      <c r="L43" s="460" t="s">
        <v>1188</v>
      </c>
      <c r="M43" s="463">
        <f t="shared" si="10"/>
        <v>1</v>
      </c>
      <c r="N43" s="463">
        <f t="shared" si="10"/>
        <v>0</v>
      </c>
      <c r="O43" s="463">
        <f t="shared" si="10"/>
        <v>0</v>
      </c>
      <c r="P43" s="463">
        <f t="shared" si="10"/>
        <v>0</v>
      </c>
      <c r="Q43" s="463">
        <f t="shared" si="10"/>
        <v>0</v>
      </c>
      <c r="R43" s="463">
        <f t="shared" si="10"/>
        <v>0</v>
      </c>
      <c r="S43" s="463">
        <f t="shared" si="10"/>
        <v>0</v>
      </c>
      <c r="T43" s="463">
        <f t="shared" si="10"/>
        <v>0</v>
      </c>
      <c r="U43" s="463">
        <f t="shared" si="10"/>
        <v>0</v>
      </c>
      <c r="V43" s="463">
        <f t="shared" si="10"/>
        <v>0</v>
      </c>
      <c r="W43" s="463">
        <f t="shared" si="10"/>
        <v>0</v>
      </c>
      <c r="X43" s="463">
        <f t="shared" si="9"/>
        <v>0</v>
      </c>
      <c r="Y43" s="463">
        <f t="shared" si="9"/>
        <v>0</v>
      </c>
      <c r="Z43" s="463">
        <f t="shared" si="9"/>
        <v>0</v>
      </c>
      <c r="AA43" s="463">
        <f t="shared" si="9"/>
        <v>0</v>
      </c>
      <c r="AB43" s="463">
        <f t="shared" si="9"/>
        <v>0</v>
      </c>
      <c r="AC43" s="463">
        <f t="shared" si="9"/>
        <v>0</v>
      </c>
      <c r="AD43" s="463">
        <f t="shared" si="9"/>
        <v>0</v>
      </c>
      <c r="AE43" s="463">
        <f t="shared" si="9"/>
        <v>0</v>
      </c>
      <c r="AF43" s="621">
        <f t="shared" si="9"/>
        <v>0</v>
      </c>
      <c r="AG43" s="573"/>
      <c r="AH43" s="464"/>
      <c r="AI43" s="464"/>
      <c r="AJ43" s="464"/>
      <c r="AK43" s="464"/>
      <c r="AL43" s="465"/>
      <c r="AM43" s="463"/>
      <c r="AN43" s="464"/>
      <c r="AO43" s="464"/>
      <c r="AP43" s="464"/>
      <c r="AQ43" s="464"/>
      <c r="AR43" s="465"/>
      <c r="AS43" s="463"/>
      <c r="AT43" s="464"/>
      <c r="AU43" s="464"/>
      <c r="AV43" s="464"/>
      <c r="AW43" s="464"/>
      <c r="AX43" s="465"/>
      <c r="AY43" s="463"/>
      <c r="AZ43" s="464"/>
      <c r="BA43" s="464"/>
      <c r="BB43" s="464"/>
      <c r="BC43" s="464"/>
      <c r="BD43" s="465"/>
      <c r="BE43" s="463"/>
      <c r="BF43" s="464"/>
      <c r="BG43" s="464"/>
      <c r="BH43" s="464"/>
      <c r="BI43" s="464"/>
      <c r="BJ43" s="466"/>
    </row>
    <row r="44" spans="1:62" s="467" customFormat="1" ht="16.5" hidden="1" customHeight="1">
      <c r="A44" s="572"/>
      <c r="E44" s="454" t="s">
        <v>1186</v>
      </c>
      <c r="F44" s="455"/>
      <c r="G44" s="456"/>
      <c r="H44" s="457"/>
      <c r="I44" s="458" t="s">
        <v>1199</v>
      </c>
      <c r="J44" s="566"/>
      <c r="K44" s="571" t="s">
        <v>1181</v>
      </c>
      <c r="L44" s="460" t="s">
        <v>1190</v>
      </c>
      <c r="M44" s="463">
        <f t="shared" si="10"/>
        <v>0</v>
      </c>
      <c r="N44" s="463">
        <f t="shared" si="10"/>
        <v>0</v>
      </c>
      <c r="O44" s="463">
        <f t="shared" si="10"/>
        <v>0</v>
      </c>
      <c r="P44" s="463">
        <f t="shared" si="10"/>
        <v>0</v>
      </c>
      <c r="Q44" s="463">
        <f t="shared" si="10"/>
        <v>0</v>
      </c>
      <c r="R44" s="463">
        <f t="shared" si="10"/>
        <v>0</v>
      </c>
      <c r="S44" s="463">
        <f t="shared" si="10"/>
        <v>0</v>
      </c>
      <c r="T44" s="463">
        <f t="shared" si="10"/>
        <v>0</v>
      </c>
      <c r="U44" s="463">
        <f t="shared" si="10"/>
        <v>0</v>
      </c>
      <c r="V44" s="463">
        <f t="shared" si="10"/>
        <v>0</v>
      </c>
      <c r="W44" s="463">
        <f t="shared" si="10"/>
        <v>0</v>
      </c>
      <c r="X44" s="463">
        <f t="shared" si="9"/>
        <v>1</v>
      </c>
      <c r="Y44" s="463">
        <f t="shared" si="9"/>
        <v>0</v>
      </c>
      <c r="Z44" s="463">
        <f t="shared" si="9"/>
        <v>0</v>
      </c>
      <c r="AA44" s="463">
        <f t="shared" si="9"/>
        <v>0</v>
      </c>
      <c r="AB44" s="463">
        <f t="shared" si="9"/>
        <v>0</v>
      </c>
      <c r="AC44" s="463">
        <f t="shared" si="9"/>
        <v>0</v>
      </c>
      <c r="AD44" s="463">
        <f t="shared" si="9"/>
        <v>0</v>
      </c>
      <c r="AE44" s="463">
        <f t="shared" si="9"/>
        <v>0</v>
      </c>
      <c r="AF44" s="621">
        <f t="shared" si="9"/>
        <v>0</v>
      </c>
      <c r="AG44" s="573"/>
      <c r="AH44" s="464"/>
      <c r="AI44" s="464"/>
      <c r="AJ44" s="464"/>
      <c r="AK44" s="464"/>
      <c r="AL44" s="465"/>
      <c r="AM44" s="463"/>
      <c r="AN44" s="464"/>
      <c r="AO44" s="464"/>
      <c r="AP44" s="464"/>
      <c r="AQ44" s="464"/>
      <c r="AR44" s="465"/>
      <c r="AS44" s="463"/>
      <c r="AT44" s="464"/>
      <c r="AU44" s="464"/>
      <c r="AV44" s="464"/>
      <c r="AW44" s="464"/>
      <c r="AX44" s="465"/>
      <c r="AY44" s="463"/>
      <c r="AZ44" s="464"/>
      <c r="BA44" s="464"/>
      <c r="BB44" s="464"/>
      <c r="BC44" s="464"/>
      <c r="BD44" s="465"/>
      <c r="BE44" s="463"/>
      <c r="BF44" s="464"/>
      <c r="BG44" s="464"/>
      <c r="BH44" s="464"/>
      <c r="BI44" s="464"/>
      <c r="BJ44" s="466"/>
    </row>
    <row r="45" spans="1:62" s="467" customFormat="1" ht="16.5" hidden="1" customHeight="1">
      <c r="A45" s="572"/>
      <c r="E45" s="454" t="s">
        <v>1186</v>
      </c>
      <c r="F45" s="455"/>
      <c r="G45" s="456"/>
      <c r="H45" s="457"/>
      <c r="I45" s="458" t="s">
        <v>1193</v>
      </c>
      <c r="J45" s="566" t="s">
        <v>1192</v>
      </c>
      <c r="K45" s="571">
        <v>100</v>
      </c>
      <c r="L45" s="460" t="s">
        <v>1188</v>
      </c>
      <c r="M45" s="463">
        <f t="shared" si="10"/>
        <v>1</v>
      </c>
      <c r="N45" s="463">
        <f t="shared" si="10"/>
        <v>0</v>
      </c>
      <c r="O45" s="463">
        <f t="shared" si="10"/>
        <v>0</v>
      </c>
      <c r="P45" s="463">
        <f t="shared" si="10"/>
        <v>0</v>
      </c>
      <c r="Q45" s="463">
        <f t="shared" si="10"/>
        <v>0</v>
      </c>
      <c r="R45" s="463">
        <f t="shared" si="10"/>
        <v>0</v>
      </c>
      <c r="S45" s="463">
        <f t="shared" si="10"/>
        <v>0</v>
      </c>
      <c r="T45" s="463">
        <f t="shared" si="10"/>
        <v>0</v>
      </c>
      <c r="U45" s="463">
        <f t="shared" si="10"/>
        <v>0</v>
      </c>
      <c r="V45" s="463">
        <f t="shared" si="10"/>
        <v>0</v>
      </c>
      <c r="W45" s="463">
        <f t="shared" si="10"/>
        <v>0</v>
      </c>
      <c r="X45" s="463">
        <f t="shared" si="9"/>
        <v>0</v>
      </c>
      <c r="Y45" s="463">
        <f t="shared" si="9"/>
        <v>0</v>
      </c>
      <c r="Z45" s="463">
        <f t="shared" si="9"/>
        <v>0</v>
      </c>
      <c r="AA45" s="463">
        <f t="shared" si="9"/>
        <v>0</v>
      </c>
      <c r="AB45" s="463">
        <f t="shared" si="9"/>
        <v>0</v>
      </c>
      <c r="AC45" s="463">
        <f t="shared" si="9"/>
        <v>0</v>
      </c>
      <c r="AD45" s="463">
        <f t="shared" si="9"/>
        <v>0</v>
      </c>
      <c r="AE45" s="463">
        <f t="shared" si="9"/>
        <v>0</v>
      </c>
      <c r="AF45" s="621">
        <f t="shared" si="9"/>
        <v>0</v>
      </c>
      <c r="AG45" s="573"/>
      <c r="AH45" s="464"/>
      <c r="AI45" s="464"/>
      <c r="AJ45" s="464"/>
      <c r="AK45" s="464"/>
      <c r="AL45" s="465"/>
      <c r="AM45" s="463"/>
      <c r="AN45" s="464"/>
      <c r="AO45" s="464"/>
      <c r="AP45" s="464"/>
      <c r="AQ45" s="464"/>
      <c r="AR45" s="465"/>
      <c r="AS45" s="463"/>
      <c r="AT45" s="464"/>
      <c r="AU45" s="464"/>
      <c r="AV45" s="464"/>
      <c r="AW45" s="464"/>
      <c r="AX45" s="465"/>
      <c r="AY45" s="463"/>
      <c r="AZ45" s="464"/>
      <c r="BA45" s="464"/>
      <c r="BB45" s="464"/>
      <c r="BC45" s="464"/>
      <c r="BD45" s="465"/>
      <c r="BE45" s="463"/>
      <c r="BF45" s="464"/>
      <c r="BG45" s="464"/>
      <c r="BH45" s="464"/>
      <c r="BI45" s="464"/>
      <c r="BJ45" s="466"/>
    </row>
    <row r="46" spans="1:62" s="467" customFormat="1" ht="16.5" hidden="1" customHeight="1">
      <c r="A46" s="572"/>
      <c r="E46" s="454" t="s">
        <v>1186</v>
      </c>
      <c r="F46" s="455"/>
      <c r="G46" s="456"/>
      <c r="H46" s="457"/>
      <c r="I46" s="458" t="s">
        <v>1193</v>
      </c>
      <c r="J46" s="566" t="s">
        <v>1192</v>
      </c>
      <c r="K46" s="571">
        <v>100</v>
      </c>
      <c r="L46" s="460" t="s">
        <v>1188</v>
      </c>
      <c r="M46" s="463">
        <f t="shared" si="10"/>
        <v>1</v>
      </c>
      <c r="N46" s="463">
        <f t="shared" si="10"/>
        <v>0</v>
      </c>
      <c r="O46" s="463">
        <f t="shared" si="10"/>
        <v>0</v>
      </c>
      <c r="P46" s="463">
        <f t="shared" si="10"/>
        <v>0</v>
      </c>
      <c r="Q46" s="463">
        <f t="shared" si="10"/>
        <v>0</v>
      </c>
      <c r="R46" s="463">
        <f t="shared" si="10"/>
        <v>0</v>
      </c>
      <c r="S46" s="463">
        <f t="shared" si="10"/>
        <v>0</v>
      </c>
      <c r="T46" s="463">
        <f t="shared" si="10"/>
        <v>0</v>
      </c>
      <c r="U46" s="463">
        <f t="shared" si="10"/>
        <v>0</v>
      </c>
      <c r="V46" s="463">
        <f t="shared" si="10"/>
        <v>0</v>
      </c>
      <c r="W46" s="463">
        <f t="shared" si="10"/>
        <v>0</v>
      </c>
      <c r="X46" s="463">
        <f t="shared" si="10"/>
        <v>0</v>
      </c>
      <c r="Y46" s="463">
        <f t="shared" si="10"/>
        <v>0</v>
      </c>
      <c r="Z46" s="463">
        <f t="shared" si="10"/>
        <v>0</v>
      </c>
      <c r="AA46" s="463">
        <f t="shared" si="10"/>
        <v>0</v>
      </c>
      <c r="AB46" s="463">
        <f t="shared" si="10"/>
        <v>0</v>
      </c>
      <c r="AC46" s="463">
        <f t="shared" ref="X46:AF74" si="11">+IF($L46=AC$10,IF($K46=AC$11,1,0),0)</f>
        <v>0</v>
      </c>
      <c r="AD46" s="463">
        <f t="shared" si="11"/>
        <v>0</v>
      </c>
      <c r="AE46" s="463">
        <f t="shared" si="11"/>
        <v>0</v>
      </c>
      <c r="AF46" s="621">
        <f t="shared" si="11"/>
        <v>0</v>
      </c>
      <c r="AG46" s="573"/>
      <c r="AH46" s="464"/>
      <c r="AI46" s="464"/>
      <c r="AJ46" s="464"/>
      <c r="AK46" s="464"/>
      <c r="AL46" s="465"/>
      <c r="AM46" s="463"/>
      <c r="AN46" s="464"/>
      <c r="AO46" s="464"/>
      <c r="AP46" s="464"/>
      <c r="AQ46" s="464"/>
      <c r="AR46" s="465"/>
      <c r="AS46" s="463"/>
      <c r="AT46" s="464"/>
      <c r="AU46" s="464"/>
      <c r="AV46" s="464"/>
      <c r="AW46" s="464"/>
      <c r="AX46" s="465"/>
      <c r="AY46" s="463"/>
      <c r="AZ46" s="464"/>
      <c r="BA46" s="464"/>
      <c r="BB46" s="464"/>
      <c r="BC46" s="464"/>
      <c r="BD46" s="465"/>
      <c r="BE46" s="463"/>
      <c r="BF46" s="464"/>
      <c r="BG46" s="464"/>
      <c r="BH46" s="464"/>
      <c r="BI46" s="464"/>
      <c r="BJ46" s="466"/>
    </row>
    <row r="47" spans="1:62" s="467" customFormat="1" ht="16.5" hidden="1" customHeight="1">
      <c r="A47" s="572"/>
      <c r="E47" s="454" t="s">
        <v>1186</v>
      </c>
      <c r="F47" s="455"/>
      <c r="G47" s="456"/>
      <c r="H47" s="457"/>
      <c r="I47" s="458" t="s">
        <v>1194</v>
      </c>
      <c r="J47" s="566"/>
      <c r="K47" s="571">
        <v>250</v>
      </c>
      <c r="L47" s="460" t="s">
        <v>1188</v>
      </c>
      <c r="M47" s="463">
        <f t="shared" si="10"/>
        <v>0</v>
      </c>
      <c r="N47" s="463">
        <f t="shared" si="10"/>
        <v>0</v>
      </c>
      <c r="O47" s="463">
        <f t="shared" si="10"/>
        <v>0</v>
      </c>
      <c r="P47" s="463">
        <f t="shared" si="10"/>
        <v>1</v>
      </c>
      <c r="Q47" s="463">
        <f t="shared" si="10"/>
        <v>0</v>
      </c>
      <c r="R47" s="463">
        <f t="shared" si="10"/>
        <v>0</v>
      </c>
      <c r="S47" s="463">
        <f t="shared" si="10"/>
        <v>0</v>
      </c>
      <c r="T47" s="463">
        <f t="shared" si="10"/>
        <v>0</v>
      </c>
      <c r="U47" s="463">
        <f t="shared" si="10"/>
        <v>0</v>
      </c>
      <c r="V47" s="463">
        <f t="shared" si="10"/>
        <v>0</v>
      </c>
      <c r="W47" s="463">
        <f t="shared" si="10"/>
        <v>0</v>
      </c>
      <c r="X47" s="463">
        <f t="shared" si="11"/>
        <v>0</v>
      </c>
      <c r="Y47" s="463">
        <f t="shared" si="11"/>
        <v>0</v>
      </c>
      <c r="Z47" s="463">
        <f t="shared" si="11"/>
        <v>0</v>
      </c>
      <c r="AA47" s="463">
        <f t="shared" si="11"/>
        <v>0</v>
      </c>
      <c r="AB47" s="463">
        <f t="shared" si="11"/>
        <v>0</v>
      </c>
      <c r="AC47" s="463">
        <f t="shared" si="11"/>
        <v>0</v>
      </c>
      <c r="AD47" s="463">
        <f t="shared" si="11"/>
        <v>0</v>
      </c>
      <c r="AE47" s="463">
        <f t="shared" si="11"/>
        <v>0</v>
      </c>
      <c r="AF47" s="621">
        <f t="shared" si="11"/>
        <v>0</v>
      </c>
      <c r="AG47" s="573"/>
      <c r="AH47" s="464"/>
      <c r="AI47" s="464"/>
      <c r="AJ47" s="464"/>
      <c r="AK47" s="464"/>
      <c r="AL47" s="465"/>
      <c r="AM47" s="463"/>
      <c r="AN47" s="464"/>
      <c r="AO47" s="464"/>
      <c r="AP47" s="464"/>
      <c r="AQ47" s="464"/>
      <c r="AR47" s="465"/>
      <c r="AS47" s="463"/>
      <c r="AT47" s="464"/>
      <c r="AU47" s="464"/>
      <c r="AV47" s="464"/>
      <c r="AW47" s="464"/>
      <c r="AX47" s="465"/>
      <c r="AY47" s="463"/>
      <c r="AZ47" s="464"/>
      <c r="BA47" s="464"/>
      <c r="BB47" s="464"/>
      <c r="BC47" s="464"/>
      <c r="BD47" s="465"/>
      <c r="BE47" s="463"/>
      <c r="BF47" s="464"/>
      <c r="BG47" s="464"/>
      <c r="BH47" s="464"/>
      <c r="BI47" s="464"/>
      <c r="BJ47" s="466"/>
    </row>
    <row r="48" spans="1:62" s="467" customFormat="1" ht="16.5" hidden="1" customHeight="1">
      <c r="A48" s="572"/>
      <c r="E48" s="454" t="s">
        <v>1186</v>
      </c>
      <c r="F48" s="455"/>
      <c r="G48" s="456"/>
      <c r="H48" s="457"/>
      <c r="I48" s="458" t="s">
        <v>1197</v>
      </c>
      <c r="J48" s="566" t="s">
        <v>1198</v>
      </c>
      <c r="K48" s="571">
        <v>200</v>
      </c>
      <c r="L48" s="460" t="s">
        <v>1188</v>
      </c>
      <c r="M48" s="463">
        <f t="shared" si="10"/>
        <v>0</v>
      </c>
      <c r="N48" s="463">
        <f t="shared" si="10"/>
        <v>0</v>
      </c>
      <c r="O48" s="463">
        <f t="shared" si="10"/>
        <v>1</v>
      </c>
      <c r="P48" s="463">
        <f t="shared" si="10"/>
        <v>0</v>
      </c>
      <c r="Q48" s="463">
        <f t="shared" si="10"/>
        <v>0</v>
      </c>
      <c r="R48" s="463">
        <f t="shared" si="10"/>
        <v>0</v>
      </c>
      <c r="S48" s="463">
        <f t="shared" si="10"/>
        <v>0</v>
      </c>
      <c r="T48" s="463">
        <f t="shared" si="10"/>
        <v>0</v>
      </c>
      <c r="U48" s="463">
        <f t="shared" si="10"/>
        <v>0</v>
      </c>
      <c r="V48" s="463">
        <f t="shared" si="10"/>
        <v>0</v>
      </c>
      <c r="W48" s="463">
        <f t="shared" si="10"/>
        <v>0</v>
      </c>
      <c r="X48" s="463">
        <f t="shared" si="11"/>
        <v>0</v>
      </c>
      <c r="Y48" s="463">
        <f t="shared" si="11"/>
        <v>0</v>
      </c>
      <c r="Z48" s="463">
        <f t="shared" si="11"/>
        <v>0</v>
      </c>
      <c r="AA48" s="463">
        <f t="shared" si="11"/>
        <v>0</v>
      </c>
      <c r="AB48" s="463">
        <f t="shared" si="11"/>
        <v>0</v>
      </c>
      <c r="AC48" s="463">
        <f t="shared" si="11"/>
        <v>0</v>
      </c>
      <c r="AD48" s="463">
        <f t="shared" si="11"/>
        <v>0</v>
      </c>
      <c r="AE48" s="463">
        <f t="shared" si="11"/>
        <v>0</v>
      </c>
      <c r="AF48" s="621">
        <f t="shared" si="11"/>
        <v>0</v>
      </c>
      <c r="AG48" s="573"/>
      <c r="AH48" s="464"/>
      <c r="AI48" s="464"/>
      <c r="AJ48" s="464"/>
      <c r="AK48" s="464"/>
      <c r="AL48" s="465"/>
      <c r="AM48" s="463"/>
      <c r="AN48" s="464"/>
      <c r="AO48" s="464"/>
      <c r="AP48" s="464"/>
      <c r="AQ48" s="464"/>
      <c r="AR48" s="465"/>
      <c r="AS48" s="463"/>
      <c r="AT48" s="464"/>
      <c r="AU48" s="464"/>
      <c r="AV48" s="464"/>
      <c r="AW48" s="464"/>
      <c r="AX48" s="465"/>
      <c r="AY48" s="463"/>
      <c r="AZ48" s="464"/>
      <c r="BA48" s="464"/>
      <c r="BB48" s="464"/>
      <c r="BC48" s="464"/>
      <c r="BD48" s="465"/>
      <c r="BE48" s="463"/>
      <c r="BF48" s="464"/>
      <c r="BG48" s="464"/>
      <c r="BH48" s="464"/>
      <c r="BI48" s="464"/>
      <c r="BJ48" s="466"/>
    </row>
    <row r="49" spans="1:62" s="467" customFormat="1" ht="16.5" hidden="1" customHeight="1">
      <c r="A49" s="572"/>
      <c r="E49" s="454" t="s">
        <v>1186</v>
      </c>
      <c r="F49" s="455"/>
      <c r="G49" s="456"/>
      <c r="H49" s="457"/>
      <c r="I49" s="458" t="s">
        <v>1193</v>
      </c>
      <c r="J49" s="566" t="s">
        <v>1192</v>
      </c>
      <c r="K49" s="571">
        <v>100</v>
      </c>
      <c r="L49" s="460" t="s">
        <v>1188</v>
      </c>
      <c r="M49" s="463">
        <f t="shared" ref="M49:W72" si="12">+IF($L49=M$10,IF($K49=M$11,1,0),0)</f>
        <v>1</v>
      </c>
      <c r="N49" s="463">
        <f t="shared" si="12"/>
        <v>0</v>
      </c>
      <c r="O49" s="463">
        <f t="shared" si="12"/>
        <v>0</v>
      </c>
      <c r="P49" s="463">
        <f t="shared" si="12"/>
        <v>0</v>
      </c>
      <c r="Q49" s="463">
        <f t="shared" si="12"/>
        <v>0</v>
      </c>
      <c r="R49" s="463">
        <f t="shared" si="12"/>
        <v>0</v>
      </c>
      <c r="S49" s="463">
        <f t="shared" si="12"/>
        <v>0</v>
      </c>
      <c r="T49" s="463">
        <f t="shared" si="12"/>
        <v>0</v>
      </c>
      <c r="U49" s="463">
        <f t="shared" si="12"/>
        <v>0</v>
      </c>
      <c r="V49" s="463">
        <f t="shared" si="12"/>
        <v>0</v>
      </c>
      <c r="W49" s="463">
        <f t="shared" si="12"/>
        <v>0</v>
      </c>
      <c r="X49" s="463">
        <f t="shared" si="11"/>
        <v>0</v>
      </c>
      <c r="Y49" s="463">
        <f t="shared" si="11"/>
        <v>0</v>
      </c>
      <c r="Z49" s="463">
        <f t="shared" si="11"/>
        <v>0</v>
      </c>
      <c r="AA49" s="463">
        <f t="shared" si="11"/>
        <v>0</v>
      </c>
      <c r="AB49" s="463">
        <f t="shared" si="11"/>
        <v>0</v>
      </c>
      <c r="AC49" s="463">
        <f t="shared" si="11"/>
        <v>0</v>
      </c>
      <c r="AD49" s="463">
        <f t="shared" si="11"/>
        <v>0</v>
      </c>
      <c r="AE49" s="463">
        <f t="shared" si="11"/>
        <v>0</v>
      </c>
      <c r="AF49" s="621">
        <f t="shared" si="11"/>
        <v>0</v>
      </c>
      <c r="AG49" s="573"/>
      <c r="AH49" s="464"/>
      <c r="AI49" s="464"/>
      <c r="AJ49" s="464"/>
      <c r="AK49" s="464"/>
      <c r="AL49" s="465"/>
      <c r="AM49" s="463"/>
      <c r="AN49" s="464"/>
      <c r="AO49" s="464"/>
      <c r="AP49" s="464"/>
      <c r="AQ49" s="464"/>
      <c r="AR49" s="465"/>
      <c r="AS49" s="463"/>
      <c r="AT49" s="464"/>
      <c r="AU49" s="464"/>
      <c r="AV49" s="464"/>
      <c r="AW49" s="464"/>
      <c r="AX49" s="465"/>
      <c r="AY49" s="463"/>
      <c r="AZ49" s="464"/>
      <c r="BA49" s="464"/>
      <c r="BB49" s="464"/>
      <c r="BC49" s="464"/>
      <c r="BD49" s="465"/>
      <c r="BE49" s="463"/>
      <c r="BF49" s="464"/>
      <c r="BG49" s="464"/>
      <c r="BH49" s="464"/>
      <c r="BI49" s="464"/>
      <c r="BJ49" s="466"/>
    </row>
    <row r="50" spans="1:62" s="467" customFormat="1" ht="16.5" hidden="1" customHeight="1">
      <c r="A50" s="572"/>
      <c r="E50" s="454" t="s">
        <v>1186</v>
      </c>
      <c r="F50" s="455"/>
      <c r="G50" s="456"/>
      <c r="H50" s="457"/>
      <c r="I50" s="458" t="s">
        <v>1193</v>
      </c>
      <c r="J50" s="566" t="s">
        <v>1192</v>
      </c>
      <c r="K50" s="571">
        <v>100</v>
      </c>
      <c r="L50" s="460" t="s">
        <v>1188</v>
      </c>
      <c r="M50" s="463">
        <f t="shared" si="12"/>
        <v>1</v>
      </c>
      <c r="N50" s="463">
        <f t="shared" si="12"/>
        <v>0</v>
      </c>
      <c r="O50" s="463">
        <f t="shared" si="12"/>
        <v>0</v>
      </c>
      <c r="P50" s="463">
        <f t="shared" si="12"/>
        <v>0</v>
      </c>
      <c r="Q50" s="463">
        <f t="shared" si="12"/>
        <v>0</v>
      </c>
      <c r="R50" s="463">
        <f t="shared" si="12"/>
        <v>0</v>
      </c>
      <c r="S50" s="463">
        <f t="shared" si="12"/>
        <v>0</v>
      </c>
      <c r="T50" s="463">
        <f t="shared" si="12"/>
        <v>0</v>
      </c>
      <c r="U50" s="463">
        <f t="shared" si="12"/>
        <v>0</v>
      </c>
      <c r="V50" s="463">
        <f t="shared" si="12"/>
        <v>0</v>
      </c>
      <c r="W50" s="463">
        <f t="shared" si="12"/>
        <v>0</v>
      </c>
      <c r="X50" s="463">
        <f t="shared" si="11"/>
        <v>0</v>
      </c>
      <c r="Y50" s="463">
        <f t="shared" si="11"/>
        <v>0</v>
      </c>
      <c r="Z50" s="463">
        <f t="shared" si="11"/>
        <v>0</v>
      </c>
      <c r="AA50" s="463">
        <f t="shared" si="11"/>
        <v>0</v>
      </c>
      <c r="AB50" s="463">
        <f t="shared" si="11"/>
        <v>0</v>
      </c>
      <c r="AC50" s="463">
        <f t="shared" si="11"/>
        <v>0</v>
      </c>
      <c r="AD50" s="463">
        <f t="shared" si="11"/>
        <v>0</v>
      </c>
      <c r="AE50" s="463">
        <f t="shared" si="11"/>
        <v>0</v>
      </c>
      <c r="AF50" s="621">
        <f t="shared" si="11"/>
        <v>0</v>
      </c>
      <c r="AG50" s="573"/>
      <c r="AH50" s="464"/>
      <c r="AI50" s="464"/>
      <c r="AJ50" s="464"/>
      <c r="AK50" s="464"/>
      <c r="AL50" s="465"/>
      <c r="AM50" s="463"/>
      <c r="AN50" s="464"/>
      <c r="AO50" s="464"/>
      <c r="AP50" s="464"/>
      <c r="AQ50" s="464"/>
      <c r="AR50" s="465"/>
      <c r="AS50" s="463"/>
      <c r="AT50" s="464"/>
      <c r="AU50" s="464"/>
      <c r="AV50" s="464"/>
      <c r="AW50" s="464"/>
      <c r="AX50" s="465"/>
      <c r="AY50" s="463"/>
      <c r="AZ50" s="464"/>
      <c r="BA50" s="464"/>
      <c r="BB50" s="464"/>
      <c r="BC50" s="464"/>
      <c r="BD50" s="465"/>
      <c r="BE50" s="463"/>
      <c r="BF50" s="464"/>
      <c r="BG50" s="464"/>
      <c r="BH50" s="464"/>
      <c r="BI50" s="464"/>
      <c r="BJ50" s="466"/>
    </row>
    <row r="51" spans="1:62" s="467" customFormat="1" ht="16.5" hidden="1" customHeight="1">
      <c r="A51" s="572"/>
      <c r="E51" s="454" t="s">
        <v>1186</v>
      </c>
      <c r="F51" s="455"/>
      <c r="G51" s="456"/>
      <c r="H51" s="457"/>
      <c r="I51" s="458" t="s">
        <v>1197</v>
      </c>
      <c r="J51" s="566" t="s">
        <v>1198</v>
      </c>
      <c r="K51" s="571">
        <v>250</v>
      </c>
      <c r="L51" s="460" t="s">
        <v>1188</v>
      </c>
      <c r="M51" s="463">
        <f t="shared" si="12"/>
        <v>0</v>
      </c>
      <c r="N51" s="463">
        <f t="shared" si="12"/>
        <v>0</v>
      </c>
      <c r="O51" s="463">
        <f t="shared" si="12"/>
        <v>0</v>
      </c>
      <c r="P51" s="463">
        <f t="shared" si="12"/>
        <v>1</v>
      </c>
      <c r="Q51" s="463">
        <f t="shared" si="12"/>
        <v>0</v>
      </c>
      <c r="R51" s="463">
        <f t="shared" si="12"/>
        <v>0</v>
      </c>
      <c r="S51" s="463">
        <f t="shared" si="12"/>
        <v>0</v>
      </c>
      <c r="T51" s="463">
        <f t="shared" si="12"/>
        <v>0</v>
      </c>
      <c r="U51" s="463">
        <f t="shared" si="12"/>
        <v>0</v>
      </c>
      <c r="V51" s="463">
        <f t="shared" si="12"/>
        <v>0</v>
      </c>
      <c r="W51" s="463">
        <f t="shared" si="12"/>
        <v>0</v>
      </c>
      <c r="X51" s="463">
        <f t="shared" si="11"/>
        <v>0</v>
      </c>
      <c r="Y51" s="463">
        <f t="shared" si="11"/>
        <v>0</v>
      </c>
      <c r="Z51" s="463">
        <f t="shared" si="11"/>
        <v>0</v>
      </c>
      <c r="AA51" s="463">
        <f t="shared" si="11"/>
        <v>0</v>
      </c>
      <c r="AB51" s="463">
        <f t="shared" si="11"/>
        <v>0</v>
      </c>
      <c r="AC51" s="463">
        <f t="shared" si="11"/>
        <v>0</v>
      </c>
      <c r="AD51" s="463">
        <f t="shared" si="11"/>
        <v>0</v>
      </c>
      <c r="AE51" s="463">
        <f t="shared" si="11"/>
        <v>0</v>
      </c>
      <c r="AF51" s="621">
        <f t="shared" si="11"/>
        <v>0</v>
      </c>
      <c r="AG51" s="573"/>
      <c r="AH51" s="464"/>
      <c r="AI51" s="464"/>
      <c r="AJ51" s="464"/>
      <c r="AK51" s="464"/>
      <c r="AL51" s="465"/>
      <c r="AM51" s="463"/>
      <c r="AN51" s="464"/>
      <c r="AO51" s="464"/>
      <c r="AP51" s="464"/>
      <c r="AQ51" s="464"/>
      <c r="AR51" s="465"/>
      <c r="AS51" s="463"/>
      <c r="AT51" s="464"/>
      <c r="AU51" s="464"/>
      <c r="AV51" s="464"/>
      <c r="AW51" s="464"/>
      <c r="AX51" s="465"/>
      <c r="AY51" s="463"/>
      <c r="AZ51" s="464"/>
      <c r="BA51" s="464"/>
      <c r="BB51" s="464"/>
      <c r="BC51" s="464"/>
      <c r="BD51" s="465"/>
      <c r="BE51" s="463"/>
      <c r="BF51" s="464"/>
      <c r="BG51" s="464"/>
      <c r="BH51" s="464"/>
      <c r="BI51" s="464"/>
      <c r="BJ51" s="466"/>
    </row>
    <row r="52" spans="1:62" s="467" customFormat="1" ht="16.5" hidden="1" customHeight="1">
      <c r="A52" s="572"/>
      <c r="E52" s="454" t="s">
        <v>1186</v>
      </c>
      <c r="F52" s="455"/>
      <c r="G52" s="456"/>
      <c r="H52" s="457"/>
      <c r="I52" s="458" t="s">
        <v>1194</v>
      </c>
      <c r="J52" s="566"/>
      <c r="K52" s="571">
        <v>250</v>
      </c>
      <c r="L52" s="460" t="s">
        <v>1188</v>
      </c>
      <c r="M52" s="463">
        <f t="shared" si="12"/>
        <v>0</v>
      </c>
      <c r="N52" s="463">
        <f t="shared" si="12"/>
        <v>0</v>
      </c>
      <c r="O52" s="463">
        <f t="shared" si="12"/>
        <v>0</v>
      </c>
      <c r="P52" s="463">
        <f t="shared" si="12"/>
        <v>1</v>
      </c>
      <c r="Q52" s="463">
        <f t="shared" si="12"/>
        <v>0</v>
      </c>
      <c r="R52" s="463">
        <f t="shared" si="12"/>
        <v>0</v>
      </c>
      <c r="S52" s="463">
        <f t="shared" si="12"/>
        <v>0</v>
      </c>
      <c r="T52" s="463">
        <f t="shared" si="12"/>
        <v>0</v>
      </c>
      <c r="U52" s="463">
        <f t="shared" si="12"/>
        <v>0</v>
      </c>
      <c r="V52" s="463">
        <f t="shared" si="12"/>
        <v>0</v>
      </c>
      <c r="W52" s="463">
        <f t="shared" si="12"/>
        <v>0</v>
      </c>
      <c r="X52" s="463">
        <f t="shared" si="11"/>
        <v>0</v>
      </c>
      <c r="Y52" s="463">
        <f t="shared" si="11"/>
        <v>0</v>
      </c>
      <c r="Z52" s="463">
        <f t="shared" si="11"/>
        <v>0</v>
      </c>
      <c r="AA52" s="463">
        <f t="shared" si="11"/>
        <v>0</v>
      </c>
      <c r="AB52" s="463">
        <f t="shared" si="11"/>
        <v>0</v>
      </c>
      <c r="AC52" s="463">
        <f t="shared" si="11"/>
        <v>0</v>
      </c>
      <c r="AD52" s="463">
        <f t="shared" si="11"/>
        <v>0</v>
      </c>
      <c r="AE52" s="463">
        <f t="shared" si="11"/>
        <v>0</v>
      </c>
      <c r="AF52" s="621">
        <f t="shared" si="11"/>
        <v>0</v>
      </c>
      <c r="AG52" s="573"/>
      <c r="AH52" s="464"/>
      <c r="AI52" s="464"/>
      <c r="AJ52" s="464"/>
      <c r="AK52" s="464"/>
      <c r="AL52" s="465"/>
      <c r="AM52" s="463"/>
      <c r="AN52" s="464"/>
      <c r="AO52" s="464"/>
      <c r="AP52" s="464"/>
      <c r="AQ52" s="464"/>
      <c r="AR52" s="465"/>
      <c r="AS52" s="463"/>
      <c r="AT52" s="464"/>
      <c r="AU52" s="464"/>
      <c r="AV52" s="464"/>
      <c r="AW52" s="464"/>
      <c r="AX52" s="465"/>
      <c r="AY52" s="463"/>
      <c r="AZ52" s="464"/>
      <c r="BA52" s="464"/>
      <c r="BB52" s="464"/>
      <c r="BC52" s="464"/>
      <c r="BD52" s="465"/>
      <c r="BE52" s="463"/>
      <c r="BF52" s="464"/>
      <c r="BG52" s="464"/>
      <c r="BH52" s="464"/>
      <c r="BI52" s="464"/>
      <c r="BJ52" s="466"/>
    </row>
    <row r="53" spans="1:62" s="467" customFormat="1" ht="16.5" hidden="1" customHeight="1">
      <c r="A53" s="572"/>
      <c r="E53" s="454" t="s">
        <v>1186</v>
      </c>
      <c r="F53" s="455"/>
      <c r="G53" s="456"/>
      <c r="H53" s="457"/>
      <c r="I53" s="458" t="s">
        <v>1193</v>
      </c>
      <c r="J53" s="566" t="s">
        <v>1192</v>
      </c>
      <c r="K53" s="571">
        <v>100</v>
      </c>
      <c r="L53" s="460" t="s">
        <v>1188</v>
      </c>
      <c r="M53" s="463">
        <f t="shared" si="12"/>
        <v>1</v>
      </c>
      <c r="N53" s="463">
        <f t="shared" si="12"/>
        <v>0</v>
      </c>
      <c r="O53" s="463">
        <f t="shared" si="12"/>
        <v>0</v>
      </c>
      <c r="P53" s="463">
        <f t="shared" si="12"/>
        <v>0</v>
      </c>
      <c r="Q53" s="463">
        <f t="shared" si="12"/>
        <v>0</v>
      </c>
      <c r="R53" s="463">
        <f t="shared" si="12"/>
        <v>0</v>
      </c>
      <c r="S53" s="463">
        <f t="shared" si="12"/>
        <v>0</v>
      </c>
      <c r="T53" s="463">
        <f t="shared" si="12"/>
        <v>0</v>
      </c>
      <c r="U53" s="463">
        <f t="shared" si="12"/>
        <v>0</v>
      </c>
      <c r="V53" s="463">
        <f t="shared" si="12"/>
        <v>0</v>
      </c>
      <c r="W53" s="463">
        <f t="shared" si="12"/>
        <v>0</v>
      </c>
      <c r="X53" s="463">
        <f t="shared" si="11"/>
        <v>0</v>
      </c>
      <c r="Y53" s="463">
        <f t="shared" si="11"/>
        <v>0</v>
      </c>
      <c r="Z53" s="463">
        <f t="shared" si="11"/>
        <v>0</v>
      </c>
      <c r="AA53" s="463">
        <f t="shared" si="11"/>
        <v>0</v>
      </c>
      <c r="AB53" s="463">
        <f t="shared" si="11"/>
        <v>0</v>
      </c>
      <c r="AC53" s="463">
        <f t="shared" si="11"/>
        <v>0</v>
      </c>
      <c r="AD53" s="463">
        <f t="shared" si="11"/>
        <v>0</v>
      </c>
      <c r="AE53" s="463">
        <f t="shared" si="11"/>
        <v>0</v>
      </c>
      <c r="AF53" s="621">
        <f t="shared" si="11"/>
        <v>0</v>
      </c>
      <c r="AG53" s="573"/>
      <c r="AH53" s="464"/>
      <c r="AI53" s="464"/>
      <c r="AJ53" s="464"/>
      <c r="AK53" s="464"/>
      <c r="AL53" s="465"/>
      <c r="AM53" s="463"/>
      <c r="AN53" s="464"/>
      <c r="AO53" s="464"/>
      <c r="AP53" s="464"/>
      <c r="AQ53" s="464"/>
      <c r="AR53" s="465"/>
      <c r="AS53" s="463"/>
      <c r="AT53" s="464"/>
      <c r="AU53" s="464"/>
      <c r="AV53" s="464"/>
      <c r="AW53" s="464"/>
      <c r="AX53" s="465"/>
      <c r="AY53" s="463"/>
      <c r="AZ53" s="464"/>
      <c r="BA53" s="464"/>
      <c r="BB53" s="464"/>
      <c r="BC53" s="464"/>
      <c r="BD53" s="465"/>
      <c r="BE53" s="463"/>
      <c r="BF53" s="464"/>
      <c r="BG53" s="464"/>
      <c r="BH53" s="464"/>
      <c r="BI53" s="464"/>
      <c r="BJ53" s="466"/>
    </row>
    <row r="54" spans="1:62" s="467" customFormat="1" ht="16.5" hidden="1" customHeight="1">
      <c r="A54" s="572"/>
      <c r="E54" s="454" t="s">
        <v>1186</v>
      </c>
      <c r="F54" s="455"/>
      <c r="G54" s="456"/>
      <c r="H54" s="457"/>
      <c r="I54" s="458" t="s">
        <v>1201</v>
      </c>
      <c r="J54" s="566"/>
      <c r="K54" s="571">
        <v>200</v>
      </c>
      <c r="L54" s="460" t="s">
        <v>1188</v>
      </c>
      <c r="M54" s="463">
        <f t="shared" si="12"/>
        <v>0</v>
      </c>
      <c r="N54" s="463">
        <f t="shared" si="12"/>
        <v>0</v>
      </c>
      <c r="O54" s="463">
        <f t="shared" si="12"/>
        <v>1</v>
      </c>
      <c r="P54" s="463">
        <f t="shared" si="12"/>
        <v>0</v>
      </c>
      <c r="Q54" s="463">
        <f t="shared" si="12"/>
        <v>0</v>
      </c>
      <c r="R54" s="463">
        <f t="shared" si="12"/>
        <v>0</v>
      </c>
      <c r="S54" s="463">
        <f t="shared" si="12"/>
        <v>0</v>
      </c>
      <c r="T54" s="463">
        <f t="shared" si="12"/>
        <v>0</v>
      </c>
      <c r="U54" s="463">
        <f t="shared" si="12"/>
        <v>0</v>
      </c>
      <c r="V54" s="463">
        <f t="shared" si="12"/>
        <v>0</v>
      </c>
      <c r="W54" s="463">
        <f t="shared" si="12"/>
        <v>0</v>
      </c>
      <c r="X54" s="463">
        <f t="shared" si="11"/>
        <v>0</v>
      </c>
      <c r="Y54" s="463">
        <f t="shared" si="11"/>
        <v>0</v>
      </c>
      <c r="Z54" s="463">
        <f t="shared" si="11"/>
        <v>0</v>
      </c>
      <c r="AA54" s="463">
        <f t="shared" si="11"/>
        <v>0</v>
      </c>
      <c r="AB54" s="463">
        <f t="shared" si="11"/>
        <v>0</v>
      </c>
      <c r="AC54" s="463">
        <f t="shared" si="11"/>
        <v>0</v>
      </c>
      <c r="AD54" s="463">
        <f t="shared" si="11"/>
        <v>0</v>
      </c>
      <c r="AE54" s="463">
        <f t="shared" si="11"/>
        <v>0</v>
      </c>
      <c r="AF54" s="621">
        <f t="shared" si="11"/>
        <v>0</v>
      </c>
      <c r="AG54" s="573"/>
      <c r="AH54" s="464"/>
      <c r="AI54" s="464"/>
      <c r="AJ54" s="464"/>
      <c r="AK54" s="464"/>
      <c r="AL54" s="465"/>
      <c r="AM54" s="463"/>
      <c r="AN54" s="464"/>
      <c r="AO54" s="464"/>
      <c r="AP54" s="464"/>
      <c r="AQ54" s="464"/>
      <c r="AR54" s="465"/>
      <c r="AS54" s="463"/>
      <c r="AT54" s="464"/>
      <c r="AU54" s="464"/>
      <c r="AV54" s="464"/>
      <c r="AW54" s="464"/>
      <c r="AX54" s="465"/>
      <c r="AY54" s="463"/>
      <c r="AZ54" s="464"/>
      <c r="BA54" s="464"/>
      <c r="BB54" s="464"/>
      <c r="BC54" s="464"/>
      <c r="BD54" s="465"/>
      <c r="BE54" s="463"/>
      <c r="BF54" s="464"/>
      <c r="BG54" s="464"/>
      <c r="BH54" s="464"/>
      <c r="BI54" s="464"/>
      <c r="BJ54" s="466"/>
    </row>
    <row r="55" spans="1:62" s="467" customFormat="1" ht="16.5" hidden="1" customHeight="1">
      <c r="A55" s="572"/>
      <c r="E55" s="454" t="s">
        <v>1186</v>
      </c>
      <c r="F55" s="455"/>
      <c r="G55" s="456"/>
      <c r="H55" s="457"/>
      <c r="I55" s="458" t="s">
        <v>1194</v>
      </c>
      <c r="J55" s="566"/>
      <c r="K55" s="571">
        <v>250</v>
      </c>
      <c r="L55" s="460" t="s">
        <v>1188</v>
      </c>
      <c r="M55" s="463">
        <f t="shared" si="12"/>
        <v>0</v>
      </c>
      <c r="N55" s="463">
        <f t="shared" si="12"/>
        <v>0</v>
      </c>
      <c r="O55" s="463">
        <f t="shared" si="12"/>
        <v>0</v>
      </c>
      <c r="P55" s="463">
        <f t="shared" si="12"/>
        <v>1</v>
      </c>
      <c r="Q55" s="463">
        <f t="shared" si="12"/>
        <v>0</v>
      </c>
      <c r="R55" s="463">
        <f t="shared" si="12"/>
        <v>0</v>
      </c>
      <c r="S55" s="463">
        <f t="shared" si="12"/>
        <v>0</v>
      </c>
      <c r="T55" s="463">
        <f t="shared" si="12"/>
        <v>0</v>
      </c>
      <c r="U55" s="463">
        <f t="shared" si="12"/>
        <v>0</v>
      </c>
      <c r="V55" s="463">
        <f t="shared" si="12"/>
        <v>0</v>
      </c>
      <c r="W55" s="463">
        <f t="shared" si="12"/>
        <v>0</v>
      </c>
      <c r="X55" s="463">
        <f t="shared" si="11"/>
        <v>0</v>
      </c>
      <c r="Y55" s="463">
        <f t="shared" si="11"/>
        <v>0</v>
      </c>
      <c r="Z55" s="463">
        <f t="shared" si="11"/>
        <v>0</v>
      </c>
      <c r="AA55" s="463">
        <f t="shared" si="11"/>
        <v>0</v>
      </c>
      <c r="AB55" s="463">
        <f t="shared" si="11"/>
        <v>0</v>
      </c>
      <c r="AC55" s="463">
        <f t="shared" si="11"/>
        <v>0</v>
      </c>
      <c r="AD55" s="463">
        <f t="shared" si="11"/>
        <v>0</v>
      </c>
      <c r="AE55" s="463">
        <f t="shared" si="11"/>
        <v>0</v>
      </c>
      <c r="AF55" s="621">
        <f t="shared" si="11"/>
        <v>0</v>
      </c>
      <c r="AG55" s="573"/>
      <c r="AH55" s="464"/>
      <c r="AI55" s="464"/>
      <c r="AJ55" s="464"/>
      <c r="AK55" s="464"/>
      <c r="AL55" s="465"/>
      <c r="AM55" s="463"/>
      <c r="AN55" s="464"/>
      <c r="AO55" s="464"/>
      <c r="AP55" s="464"/>
      <c r="AQ55" s="464"/>
      <c r="AR55" s="465"/>
      <c r="AS55" s="463"/>
      <c r="AT55" s="464"/>
      <c r="AU55" s="464"/>
      <c r="AV55" s="464"/>
      <c r="AW55" s="464"/>
      <c r="AX55" s="465"/>
      <c r="AY55" s="463"/>
      <c r="AZ55" s="464"/>
      <c r="BA55" s="464"/>
      <c r="BB55" s="464"/>
      <c r="BC55" s="464"/>
      <c r="BD55" s="465"/>
      <c r="BE55" s="463"/>
      <c r="BF55" s="464"/>
      <c r="BG55" s="464"/>
      <c r="BH55" s="464"/>
      <c r="BI55" s="464"/>
      <c r="BJ55" s="466"/>
    </row>
    <row r="56" spans="1:62" s="467" customFormat="1" ht="16.5" hidden="1" customHeight="1">
      <c r="A56" s="572"/>
      <c r="E56" s="454" t="s">
        <v>1186</v>
      </c>
      <c r="F56" s="455"/>
      <c r="G56" s="456"/>
      <c r="H56" s="457"/>
      <c r="I56" s="458" t="s">
        <v>1194</v>
      </c>
      <c r="J56" s="566"/>
      <c r="K56" s="571">
        <v>200</v>
      </c>
      <c r="L56" s="460" t="s">
        <v>1188</v>
      </c>
      <c r="M56" s="463">
        <f t="shared" si="12"/>
        <v>0</v>
      </c>
      <c r="N56" s="463">
        <f t="shared" si="12"/>
        <v>0</v>
      </c>
      <c r="O56" s="463">
        <f t="shared" si="12"/>
        <v>1</v>
      </c>
      <c r="P56" s="463">
        <f t="shared" si="12"/>
        <v>0</v>
      </c>
      <c r="Q56" s="463">
        <f t="shared" si="12"/>
        <v>0</v>
      </c>
      <c r="R56" s="463">
        <f t="shared" si="12"/>
        <v>0</v>
      </c>
      <c r="S56" s="463">
        <f t="shared" si="12"/>
        <v>0</v>
      </c>
      <c r="T56" s="463">
        <f t="shared" si="12"/>
        <v>0</v>
      </c>
      <c r="U56" s="463">
        <f t="shared" si="12"/>
        <v>0</v>
      </c>
      <c r="V56" s="463">
        <f t="shared" si="12"/>
        <v>0</v>
      </c>
      <c r="W56" s="463">
        <f t="shared" si="12"/>
        <v>0</v>
      </c>
      <c r="X56" s="463">
        <f t="shared" si="11"/>
        <v>0</v>
      </c>
      <c r="Y56" s="463">
        <f t="shared" si="11"/>
        <v>0</v>
      </c>
      <c r="Z56" s="463">
        <f t="shared" si="11"/>
        <v>0</v>
      </c>
      <c r="AA56" s="463">
        <f t="shared" si="11"/>
        <v>0</v>
      </c>
      <c r="AB56" s="463">
        <f t="shared" si="11"/>
        <v>0</v>
      </c>
      <c r="AC56" s="463">
        <f t="shared" si="11"/>
        <v>0</v>
      </c>
      <c r="AD56" s="463">
        <f t="shared" si="11"/>
        <v>0</v>
      </c>
      <c r="AE56" s="463">
        <f t="shared" si="11"/>
        <v>0</v>
      </c>
      <c r="AF56" s="621">
        <f t="shared" si="11"/>
        <v>0</v>
      </c>
      <c r="AG56" s="573"/>
      <c r="AH56" s="464"/>
      <c r="AI56" s="464"/>
      <c r="AJ56" s="464"/>
      <c r="AK56" s="464"/>
      <c r="AL56" s="465"/>
      <c r="AM56" s="463"/>
      <c r="AN56" s="464"/>
      <c r="AO56" s="464"/>
      <c r="AP56" s="464"/>
      <c r="AQ56" s="464"/>
      <c r="AR56" s="465"/>
      <c r="AS56" s="463"/>
      <c r="AT56" s="464"/>
      <c r="AU56" s="464"/>
      <c r="AV56" s="464"/>
      <c r="AW56" s="464"/>
      <c r="AX56" s="465"/>
      <c r="AY56" s="463"/>
      <c r="AZ56" s="464"/>
      <c r="BA56" s="464"/>
      <c r="BB56" s="464"/>
      <c r="BC56" s="464"/>
      <c r="BD56" s="465"/>
      <c r="BE56" s="463"/>
      <c r="BF56" s="464"/>
      <c r="BG56" s="464"/>
      <c r="BH56" s="464"/>
      <c r="BI56" s="464"/>
      <c r="BJ56" s="466"/>
    </row>
    <row r="57" spans="1:62" s="467" customFormat="1" ht="16.5" hidden="1" customHeight="1">
      <c r="A57" s="572"/>
      <c r="E57" s="454" t="s">
        <v>1185</v>
      </c>
      <c r="F57" s="455"/>
      <c r="G57" s="456"/>
      <c r="H57" s="457"/>
      <c r="I57" s="458" t="s">
        <v>1208</v>
      </c>
      <c r="J57" s="566"/>
      <c r="K57" s="566" t="s">
        <v>1203</v>
      </c>
      <c r="L57" s="460" t="s">
        <v>1191</v>
      </c>
      <c r="M57" s="463">
        <f t="shared" si="12"/>
        <v>0</v>
      </c>
      <c r="N57" s="463">
        <f t="shared" si="12"/>
        <v>0</v>
      </c>
      <c r="O57" s="463">
        <f t="shared" si="12"/>
        <v>0</v>
      </c>
      <c r="P57" s="463">
        <f t="shared" si="12"/>
        <v>0</v>
      </c>
      <c r="Q57" s="463">
        <f t="shared" si="12"/>
        <v>0</v>
      </c>
      <c r="R57" s="463">
        <f t="shared" si="12"/>
        <v>0</v>
      </c>
      <c r="S57" s="463">
        <f t="shared" si="12"/>
        <v>0</v>
      </c>
      <c r="T57" s="463">
        <f t="shared" si="12"/>
        <v>0</v>
      </c>
      <c r="U57" s="463">
        <f t="shared" si="12"/>
        <v>0</v>
      </c>
      <c r="V57" s="463">
        <f t="shared" si="12"/>
        <v>0</v>
      </c>
      <c r="W57" s="463">
        <f t="shared" si="12"/>
        <v>0</v>
      </c>
      <c r="X57" s="463">
        <f t="shared" si="11"/>
        <v>0</v>
      </c>
      <c r="Y57" s="463">
        <f t="shared" si="11"/>
        <v>0</v>
      </c>
      <c r="Z57" s="463">
        <f t="shared" si="11"/>
        <v>0</v>
      </c>
      <c r="AA57" s="463">
        <f t="shared" si="11"/>
        <v>1</v>
      </c>
      <c r="AB57" s="463">
        <f t="shared" si="11"/>
        <v>0</v>
      </c>
      <c r="AC57" s="463">
        <f t="shared" si="11"/>
        <v>0</v>
      </c>
      <c r="AD57" s="463">
        <f t="shared" si="11"/>
        <v>0</v>
      </c>
      <c r="AE57" s="463">
        <f t="shared" si="11"/>
        <v>0</v>
      </c>
      <c r="AF57" s="621">
        <f t="shared" si="11"/>
        <v>0</v>
      </c>
      <c r="AG57" s="573"/>
      <c r="AH57" s="464"/>
      <c r="AI57" s="464"/>
      <c r="AJ57" s="464"/>
      <c r="AK57" s="464"/>
      <c r="AL57" s="465"/>
      <c r="AM57" s="463"/>
      <c r="AN57" s="464"/>
      <c r="AO57" s="464"/>
      <c r="AP57" s="464"/>
      <c r="AQ57" s="464"/>
      <c r="AR57" s="465"/>
      <c r="AS57" s="463"/>
      <c r="AT57" s="464"/>
      <c r="AU57" s="464"/>
      <c r="AV57" s="464"/>
      <c r="AW57" s="464"/>
      <c r="AX57" s="465"/>
      <c r="AY57" s="463"/>
      <c r="AZ57" s="464"/>
      <c r="BA57" s="464"/>
      <c r="BB57" s="464"/>
      <c r="BC57" s="464"/>
      <c r="BD57" s="465"/>
      <c r="BE57" s="463"/>
      <c r="BF57" s="464"/>
      <c r="BG57" s="464"/>
      <c r="BH57" s="464"/>
      <c r="BI57" s="464"/>
      <c r="BJ57" s="466"/>
    </row>
    <row r="58" spans="1:62" s="467" customFormat="1" ht="16.5" hidden="1" customHeight="1">
      <c r="A58" s="572"/>
      <c r="E58" s="454" t="s">
        <v>1185</v>
      </c>
      <c r="F58" s="455"/>
      <c r="G58" s="456"/>
      <c r="H58" s="457"/>
      <c r="I58" s="458" t="s">
        <v>1209</v>
      </c>
      <c r="J58" s="566"/>
      <c r="K58" s="566" t="s">
        <v>1204</v>
      </c>
      <c r="L58" s="460" t="s">
        <v>1191</v>
      </c>
      <c r="M58" s="463">
        <f t="shared" si="12"/>
        <v>0</v>
      </c>
      <c r="N58" s="463">
        <f t="shared" si="12"/>
        <v>0</v>
      </c>
      <c r="O58" s="463">
        <f t="shared" si="12"/>
        <v>0</v>
      </c>
      <c r="P58" s="463">
        <f t="shared" si="12"/>
        <v>0</v>
      </c>
      <c r="Q58" s="463">
        <f t="shared" si="12"/>
        <v>0</v>
      </c>
      <c r="R58" s="463">
        <f t="shared" si="12"/>
        <v>0</v>
      </c>
      <c r="S58" s="463">
        <f t="shared" si="12"/>
        <v>0</v>
      </c>
      <c r="T58" s="463">
        <f t="shared" si="12"/>
        <v>0</v>
      </c>
      <c r="U58" s="463">
        <f t="shared" si="12"/>
        <v>0</v>
      </c>
      <c r="V58" s="463">
        <f t="shared" si="12"/>
        <v>0</v>
      </c>
      <c r="W58" s="463">
        <f t="shared" si="12"/>
        <v>0</v>
      </c>
      <c r="X58" s="463">
        <f t="shared" si="11"/>
        <v>0</v>
      </c>
      <c r="Y58" s="463">
        <f t="shared" si="11"/>
        <v>0</v>
      </c>
      <c r="Z58" s="463">
        <f t="shared" si="11"/>
        <v>0</v>
      </c>
      <c r="AA58" s="463">
        <f t="shared" si="11"/>
        <v>0</v>
      </c>
      <c r="AB58" s="463">
        <f t="shared" si="11"/>
        <v>1</v>
      </c>
      <c r="AC58" s="463">
        <f t="shared" si="11"/>
        <v>0</v>
      </c>
      <c r="AD58" s="463">
        <f t="shared" si="11"/>
        <v>0</v>
      </c>
      <c r="AE58" s="463">
        <f t="shared" si="11"/>
        <v>0</v>
      </c>
      <c r="AF58" s="621">
        <f t="shared" si="11"/>
        <v>0</v>
      </c>
      <c r="AG58" s="573"/>
      <c r="AH58" s="464"/>
      <c r="AI58" s="464"/>
      <c r="AJ58" s="464"/>
      <c r="AK58" s="464"/>
      <c r="AL58" s="465"/>
      <c r="AM58" s="463"/>
      <c r="AN58" s="464"/>
      <c r="AO58" s="464"/>
      <c r="AP58" s="464"/>
      <c r="AQ58" s="464"/>
      <c r="AR58" s="465"/>
      <c r="AS58" s="463"/>
      <c r="AT58" s="464"/>
      <c r="AU58" s="464"/>
      <c r="AV58" s="464"/>
      <c r="AW58" s="464"/>
      <c r="AX58" s="465"/>
      <c r="AY58" s="463"/>
      <c r="AZ58" s="464"/>
      <c r="BA58" s="464"/>
      <c r="BB58" s="464"/>
      <c r="BC58" s="464"/>
      <c r="BD58" s="465"/>
      <c r="BE58" s="463"/>
      <c r="BF58" s="464"/>
      <c r="BG58" s="464"/>
      <c r="BH58" s="464"/>
      <c r="BI58" s="464"/>
      <c r="BJ58" s="466"/>
    </row>
    <row r="59" spans="1:62" s="467" customFormat="1" ht="16.5" hidden="1" customHeight="1">
      <c r="A59" s="572"/>
      <c r="E59" s="454" t="s">
        <v>1185</v>
      </c>
      <c r="F59" s="455"/>
      <c r="G59" s="456"/>
      <c r="H59" s="457"/>
      <c r="I59" s="458" t="s">
        <v>1208</v>
      </c>
      <c r="J59" s="566"/>
      <c r="K59" s="566" t="s">
        <v>1203</v>
      </c>
      <c r="L59" s="460" t="s">
        <v>1191</v>
      </c>
      <c r="M59" s="463">
        <f t="shared" si="12"/>
        <v>0</v>
      </c>
      <c r="N59" s="463">
        <f t="shared" si="12"/>
        <v>0</v>
      </c>
      <c r="O59" s="463">
        <f t="shared" si="12"/>
        <v>0</v>
      </c>
      <c r="P59" s="463">
        <f t="shared" si="12"/>
        <v>0</v>
      </c>
      <c r="Q59" s="463">
        <f t="shared" si="12"/>
        <v>0</v>
      </c>
      <c r="R59" s="463">
        <f t="shared" si="12"/>
        <v>0</v>
      </c>
      <c r="S59" s="463">
        <f t="shared" si="12"/>
        <v>0</v>
      </c>
      <c r="T59" s="463">
        <f t="shared" si="12"/>
        <v>0</v>
      </c>
      <c r="U59" s="463">
        <f t="shared" si="12"/>
        <v>0</v>
      </c>
      <c r="V59" s="463">
        <f t="shared" si="12"/>
        <v>0</v>
      </c>
      <c r="W59" s="463">
        <f t="shared" si="12"/>
        <v>0</v>
      </c>
      <c r="X59" s="463">
        <f t="shared" si="11"/>
        <v>0</v>
      </c>
      <c r="Y59" s="463">
        <f t="shared" si="11"/>
        <v>0</v>
      </c>
      <c r="Z59" s="463">
        <f t="shared" si="11"/>
        <v>0</v>
      </c>
      <c r="AA59" s="463">
        <f t="shared" si="11"/>
        <v>1</v>
      </c>
      <c r="AB59" s="463">
        <f t="shared" si="11"/>
        <v>0</v>
      </c>
      <c r="AC59" s="463">
        <f t="shared" si="11"/>
        <v>0</v>
      </c>
      <c r="AD59" s="463">
        <f t="shared" si="11"/>
        <v>0</v>
      </c>
      <c r="AE59" s="463">
        <f t="shared" si="11"/>
        <v>0</v>
      </c>
      <c r="AF59" s="621">
        <f t="shared" si="11"/>
        <v>0</v>
      </c>
      <c r="AG59" s="573"/>
      <c r="AH59" s="464"/>
      <c r="AI59" s="464"/>
      <c r="AJ59" s="464"/>
      <c r="AK59" s="464"/>
      <c r="AL59" s="465"/>
      <c r="AM59" s="463"/>
      <c r="AN59" s="464"/>
      <c r="AO59" s="464"/>
      <c r="AP59" s="464"/>
      <c r="AQ59" s="464"/>
      <c r="AR59" s="465"/>
      <c r="AS59" s="463"/>
      <c r="AT59" s="464"/>
      <c r="AU59" s="464"/>
      <c r="AV59" s="464"/>
      <c r="AW59" s="464"/>
      <c r="AX59" s="465"/>
      <c r="AY59" s="463"/>
      <c r="AZ59" s="464"/>
      <c r="BA59" s="464"/>
      <c r="BB59" s="464"/>
      <c r="BC59" s="464"/>
      <c r="BD59" s="465"/>
      <c r="BE59" s="463"/>
      <c r="BF59" s="464"/>
      <c r="BG59" s="464"/>
      <c r="BH59" s="464"/>
      <c r="BI59" s="464"/>
      <c r="BJ59" s="466"/>
    </row>
    <row r="60" spans="1:62" s="467" customFormat="1" ht="16.5" hidden="1" customHeight="1">
      <c r="A60" s="572"/>
      <c r="E60" s="454" t="s">
        <v>1185</v>
      </c>
      <c r="F60" s="455"/>
      <c r="G60" s="456"/>
      <c r="H60" s="457"/>
      <c r="I60" s="458" t="s">
        <v>1208</v>
      </c>
      <c r="J60" s="566"/>
      <c r="K60" s="566" t="s">
        <v>1203</v>
      </c>
      <c r="L60" s="460" t="s">
        <v>1191</v>
      </c>
      <c r="M60" s="463">
        <f t="shared" si="12"/>
        <v>0</v>
      </c>
      <c r="N60" s="463">
        <f t="shared" si="12"/>
        <v>0</v>
      </c>
      <c r="O60" s="463">
        <f t="shared" si="12"/>
        <v>0</v>
      </c>
      <c r="P60" s="463">
        <f t="shared" si="12"/>
        <v>0</v>
      </c>
      <c r="Q60" s="463">
        <f t="shared" si="12"/>
        <v>0</v>
      </c>
      <c r="R60" s="463">
        <f t="shared" si="12"/>
        <v>0</v>
      </c>
      <c r="S60" s="463">
        <f t="shared" si="12"/>
        <v>0</v>
      </c>
      <c r="T60" s="463">
        <f t="shared" si="12"/>
        <v>0</v>
      </c>
      <c r="U60" s="463">
        <f t="shared" si="12"/>
        <v>0</v>
      </c>
      <c r="V60" s="463">
        <f t="shared" si="12"/>
        <v>0</v>
      </c>
      <c r="W60" s="463">
        <f t="shared" si="12"/>
        <v>0</v>
      </c>
      <c r="X60" s="463">
        <f t="shared" si="11"/>
        <v>0</v>
      </c>
      <c r="Y60" s="463">
        <f t="shared" si="11"/>
        <v>0</v>
      </c>
      <c r="Z60" s="463">
        <f t="shared" si="11"/>
        <v>0</v>
      </c>
      <c r="AA60" s="463">
        <f t="shared" si="11"/>
        <v>1</v>
      </c>
      <c r="AB60" s="463">
        <f t="shared" si="11"/>
        <v>0</v>
      </c>
      <c r="AC60" s="463">
        <f t="shared" si="11"/>
        <v>0</v>
      </c>
      <c r="AD60" s="463">
        <f t="shared" si="11"/>
        <v>0</v>
      </c>
      <c r="AE60" s="463">
        <f t="shared" si="11"/>
        <v>0</v>
      </c>
      <c r="AF60" s="621">
        <f t="shared" si="11"/>
        <v>0</v>
      </c>
      <c r="AG60" s="573"/>
      <c r="AH60" s="464"/>
      <c r="AI60" s="464"/>
      <c r="AJ60" s="464"/>
      <c r="AK60" s="464"/>
      <c r="AL60" s="465"/>
      <c r="AM60" s="463"/>
      <c r="AN60" s="464"/>
      <c r="AO60" s="464"/>
      <c r="AP60" s="464"/>
      <c r="AQ60" s="464"/>
      <c r="AR60" s="465"/>
      <c r="AS60" s="463"/>
      <c r="AT60" s="464"/>
      <c r="AU60" s="464"/>
      <c r="AV60" s="464"/>
      <c r="AW60" s="464"/>
      <c r="AX60" s="465"/>
      <c r="AY60" s="463"/>
      <c r="AZ60" s="464"/>
      <c r="BA60" s="464"/>
      <c r="BB60" s="464"/>
      <c r="BC60" s="464"/>
      <c r="BD60" s="465"/>
      <c r="BE60" s="463"/>
      <c r="BF60" s="464"/>
      <c r="BG60" s="464"/>
      <c r="BH60" s="464"/>
      <c r="BI60" s="464"/>
      <c r="BJ60" s="466"/>
    </row>
    <row r="61" spans="1:62" s="467" customFormat="1" ht="16.5" hidden="1" customHeight="1">
      <c r="A61" s="572"/>
      <c r="E61" s="454" t="s">
        <v>1185</v>
      </c>
      <c r="F61" s="455"/>
      <c r="G61" s="456"/>
      <c r="H61" s="457"/>
      <c r="I61" s="458" t="s">
        <v>1209</v>
      </c>
      <c r="J61" s="566"/>
      <c r="K61" s="566" t="s">
        <v>1204</v>
      </c>
      <c r="L61" s="460" t="s">
        <v>1191</v>
      </c>
      <c r="M61" s="463">
        <f t="shared" si="12"/>
        <v>0</v>
      </c>
      <c r="N61" s="463">
        <f t="shared" si="12"/>
        <v>0</v>
      </c>
      <c r="O61" s="463">
        <f t="shared" si="12"/>
        <v>0</v>
      </c>
      <c r="P61" s="463">
        <f t="shared" si="12"/>
        <v>0</v>
      </c>
      <c r="Q61" s="463">
        <f t="shared" si="12"/>
        <v>0</v>
      </c>
      <c r="R61" s="463">
        <f t="shared" si="12"/>
        <v>0</v>
      </c>
      <c r="S61" s="463">
        <f t="shared" si="12"/>
        <v>0</v>
      </c>
      <c r="T61" s="463">
        <f t="shared" si="12"/>
        <v>0</v>
      </c>
      <c r="U61" s="463">
        <f t="shared" si="12"/>
        <v>0</v>
      </c>
      <c r="V61" s="463">
        <f t="shared" si="12"/>
        <v>0</v>
      </c>
      <c r="W61" s="463">
        <f t="shared" si="12"/>
        <v>0</v>
      </c>
      <c r="X61" s="463">
        <f t="shared" si="11"/>
        <v>0</v>
      </c>
      <c r="Y61" s="463">
        <f t="shared" si="11"/>
        <v>0</v>
      </c>
      <c r="Z61" s="463">
        <f t="shared" si="11"/>
        <v>0</v>
      </c>
      <c r="AA61" s="463">
        <f t="shared" si="11"/>
        <v>0</v>
      </c>
      <c r="AB61" s="463">
        <f t="shared" si="11"/>
        <v>1</v>
      </c>
      <c r="AC61" s="463">
        <f t="shared" si="11"/>
        <v>0</v>
      </c>
      <c r="AD61" s="463">
        <f t="shared" si="11"/>
        <v>0</v>
      </c>
      <c r="AE61" s="463">
        <f t="shared" si="11"/>
        <v>0</v>
      </c>
      <c r="AF61" s="621">
        <f t="shared" si="11"/>
        <v>0</v>
      </c>
      <c r="AG61" s="573"/>
      <c r="AH61" s="464"/>
      <c r="AI61" s="464"/>
      <c r="AJ61" s="464"/>
      <c r="AK61" s="464"/>
      <c r="AL61" s="465"/>
      <c r="AM61" s="463"/>
      <c r="AN61" s="464"/>
      <c r="AO61" s="464"/>
      <c r="AP61" s="464"/>
      <c r="AQ61" s="464"/>
      <c r="AR61" s="465"/>
      <c r="AS61" s="463"/>
      <c r="AT61" s="464"/>
      <c r="AU61" s="464"/>
      <c r="AV61" s="464"/>
      <c r="AW61" s="464"/>
      <c r="AX61" s="465"/>
      <c r="AY61" s="463"/>
      <c r="AZ61" s="464"/>
      <c r="BA61" s="464"/>
      <c r="BB61" s="464"/>
      <c r="BC61" s="464"/>
      <c r="BD61" s="465"/>
      <c r="BE61" s="463"/>
      <c r="BF61" s="464"/>
      <c r="BG61" s="464"/>
      <c r="BH61" s="464"/>
      <c r="BI61" s="464"/>
      <c r="BJ61" s="466"/>
    </row>
    <row r="62" spans="1:62" s="467" customFormat="1" ht="16.5" hidden="1" customHeight="1">
      <c r="A62" s="572"/>
      <c r="E62" s="454" t="s">
        <v>1185</v>
      </c>
      <c r="F62" s="455"/>
      <c r="G62" s="456"/>
      <c r="H62" s="457"/>
      <c r="I62" s="458" t="s">
        <v>1209</v>
      </c>
      <c r="J62" s="566"/>
      <c r="K62" s="566" t="s">
        <v>1204</v>
      </c>
      <c r="L62" s="460" t="s">
        <v>1191</v>
      </c>
      <c r="M62" s="463">
        <f t="shared" si="12"/>
        <v>0</v>
      </c>
      <c r="N62" s="463">
        <f t="shared" si="12"/>
        <v>0</v>
      </c>
      <c r="O62" s="463">
        <f t="shared" si="12"/>
        <v>0</v>
      </c>
      <c r="P62" s="463">
        <f t="shared" si="12"/>
        <v>0</v>
      </c>
      <c r="Q62" s="463">
        <f t="shared" si="12"/>
        <v>0</v>
      </c>
      <c r="R62" s="463">
        <f t="shared" si="12"/>
        <v>0</v>
      </c>
      <c r="S62" s="463">
        <f t="shared" si="12"/>
        <v>0</v>
      </c>
      <c r="T62" s="463">
        <f t="shared" si="12"/>
        <v>0</v>
      </c>
      <c r="U62" s="463">
        <f t="shared" si="12"/>
        <v>0</v>
      </c>
      <c r="V62" s="463">
        <f t="shared" si="12"/>
        <v>0</v>
      </c>
      <c r="W62" s="463">
        <f t="shared" si="12"/>
        <v>0</v>
      </c>
      <c r="X62" s="463">
        <f t="shared" si="11"/>
        <v>0</v>
      </c>
      <c r="Y62" s="463">
        <f t="shared" si="11"/>
        <v>0</v>
      </c>
      <c r="Z62" s="463">
        <f t="shared" si="11"/>
        <v>0</v>
      </c>
      <c r="AA62" s="463">
        <f t="shared" si="11"/>
        <v>0</v>
      </c>
      <c r="AB62" s="463">
        <f t="shared" si="11"/>
        <v>1</v>
      </c>
      <c r="AC62" s="463">
        <f t="shared" si="11"/>
        <v>0</v>
      </c>
      <c r="AD62" s="463">
        <f t="shared" si="11"/>
        <v>0</v>
      </c>
      <c r="AE62" s="463">
        <f t="shared" si="11"/>
        <v>0</v>
      </c>
      <c r="AF62" s="621">
        <f t="shared" si="11"/>
        <v>0</v>
      </c>
      <c r="AG62" s="573"/>
      <c r="AH62" s="464"/>
      <c r="AI62" s="464"/>
      <c r="AJ62" s="464"/>
      <c r="AK62" s="464"/>
      <c r="AL62" s="465"/>
      <c r="AM62" s="463"/>
      <c r="AN62" s="464"/>
      <c r="AO62" s="464"/>
      <c r="AP62" s="464"/>
      <c r="AQ62" s="464"/>
      <c r="AR62" s="465"/>
      <c r="AS62" s="463"/>
      <c r="AT62" s="464"/>
      <c r="AU62" s="464"/>
      <c r="AV62" s="464"/>
      <c r="AW62" s="464"/>
      <c r="AX62" s="465"/>
      <c r="AY62" s="463"/>
      <c r="AZ62" s="464"/>
      <c r="BA62" s="464"/>
      <c r="BB62" s="464"/>
      <c r="BC62" s="464"/>
      <c r="BD62" s="465"/>
      <c r="BE62" s="463"/>
      <c r="BF62" s="464"/>
      <c r="BG62" s="464"/>
      <c r="BH62" s="464"/>
      <c r="BI62" s="464"/>
      <c r="BJ62" s="466"/>
    </row>
    <row r="63" spans="1:62" s="467" customFormat="1" ht="16.5" hidden="1" customHeight="1">
      <c r="A63" s="572"/>
      <c r="E63" s="454" t="s">
        <v>1185</v>
      </c>
      <c r="F63" s="455"/>
      <c r="G63" s="456"/>
      <c r="H63" s="457"/>
      <c r="I63" s="458" t="s">
        <v>1208</v>
      </c>
      <c r="J63" s="566"/>
      <c r="K63" s="566" t="s">
        <v>1203</v>
      </c>
      <c r="L63" s="460" t="s">
        <v>1191</v>
      </c>
      <c r="M63" s="463">
        <f t="shared" si="12"/>
        <v>0</v>
      </c>
      <c r="N63" s="463">
        <f t="shared" si="12"/>
        <v>0</v>
      </c>
      <c r="O63" s="463">
        <f t="shared" si="12"/>
        <v>0</v>
      </c>
      <c r="P63" s="463">
        <f t="shared" si="12"/>
        <v>0</v>
      </c>
      <c r="Q63" s="463">
        <f t="shared" si="12"/>
        <v>0</v>
      </c>
      <c r="R63" s="463">
        <f t="shared" si="12"/>
        <v>0</v>
      </c>
      <c r="S63" s="463">
        <f t="shared" si="12"/>
        <v>0</v>
      </c>
      <c r="T63" s="463">
        <f t="shared" si="12"/>
        <v>0</v>
      </c>
      <c r="U63" s="463">
        <f t="shared" si="12"/>
        <v>0</v>
      </c>
      <c r="V63" s="463">
        <f t="shared" si="12"/>
        <v>0</v>
      </c>
      <c r="W63" s="463">
        <f t="shared" si="12"/>
        <v>0</v>
      </c>
      <c r="X63" s="463">
        <f t="shared" si="11"/>
        <v>0</v>
      </c>
      <c r="Y63" s="463">
        <f t="shared" si="11"/>
        <v>0</v>
      </c>
      <c r="Z63" s="463">
        <f t="shared" si="11"/>
        <v>0</v>
      </c>
      <c r="AA63" s="463">
        <f t="shared" si="11"/>
        <v>1</v>
      </c>
      <c r="AB63" s="463">
        <f t="shared" si="11"/>
        <v>0</v>
      </c>
      <c r="AC63" s="463">
        <f t="shared" si="11"/>
        <v>0</v>
      </c>
      <c r="AD63" s="463">
        <f t="shared" si="11"/>
        <v>0</v>
      </c>
      <c r="AE63" s="463">
        <f t="shared" si="11"/>
        <v>0</v>
      </c>
      <c r="AF63" s="621">
        <f t="shared" si="11"/>
        <v>0</v>
      </c>
      <c r="AG63" s="573"/>
      <c r="AH63" s="464"/>
      <c r="AI63" s="464"/>
      <c r="AJ63" s="464"/>
      <c r="AK63" s="464"/>
      <c r="AL63" s="465"/>
      <c r="AM63" s="463"/>
      <c r="AN63" s="464"/>
      <c r="AO63" s="464"/>
      <c r="AP63" s="464"/>
      <c r="AQ63" s="464"/>
      <c r="AR63" s="465"/>
      <c r="AS63" s="463"/>
      <c r="AT63" s="464"/>
      <c r="AU63" s="464"/>
      <c r="AV63" s="464"/>
      <c r="AW63" s="464"/>
      <c r="AX63" s="465"/>
      <c r="AY63" s="463"/>
      <c r="AZ63" s="464"/>
      <c r="BA63" s="464"/>
      <c r="BB63" s="464"/>
      <c r="BC63" s="464"/>
      <c r="BD63" s="465"/>
      <c r="BE63" s="463"/>
      <c r="BF63" s="464"/>
      <c r="BG63" s="464"/>
      <c r="BH63" s="464"/>
      <c r="BI63" s="464"/>
      <c r="BJ63" s="466"/>
    </row>
    <row r="64" spans="1:62" s="467" customFormat="1" ht="16.5" hidden="1" customHeight="1">
      <c r="A64" s="572"/>
      <c r="E64" s="454" t="s">
        <v>1185</v>
      </c>
      <c r="F64" s="455"/>
      <c r="G64" s="456"/>
      <c r="H64" s="457"/>
      <c r="I64" s="458" t="s">
        <v>1208</v>
      </c>
      <c r="J64" s="566"/>
      <c r="K64" s="566" t="s">
        <v>1203</v>
      </c>
      <c r="L64" s="460" t="s">
        <v>1191</v>
      </c>
      <c r="M64" s="463">
        <f t="shared" si="12"/>
        <v>0</v>
      </c>
      <c r="N64" s="463">
        <f t="shared" si="12"/>
        <v>0</v>
      </c>
      <c r="O64" s="463">
        <f t="shared" si="12"/>
        <v>0</v>
      </c>
      <c r="P64" s="463">
        <f t="shared" si="12"/>
        <v>0</v>
      </c>
      <c r="Q64" s="463">
        <f t="shared" si="12"/>
        <v>0</v>
      </c>
      <c r="R64" s="463">
        <f t="shared" si="12"/>
        <v>0</v>
      </c>
      <c r="S64" s="463">
        <f t="shared" si="12"/>
        <v>0</v>
      </c>
      <c r="T64" s="463">
        <f t="shared" si="12"/>
        <v>0</v>
      </c>
      <c r="U64" s="463">
        <f t="shared" si="12"/>
        <v>0</v>
      </c>
      <c r="V64" s="463">
        <f t="shared" si="12"/>
        <v>0</v>
      </c>
      <c r="W64" s="463">
        <f t="shared" si="12"/>
        <v>0</v>
      </c>
      <c r="X64" s="463">
        <f t="shared" si="11"/>
        <v>0</v>
      </c>
      <c r="Y64" s="463">
        <f t="shared" si="11"/>
        <v>0</v>
      </c>
      <c r="Z64" s="463">
        <f t="shared" si="11"/>
        <v>0</v>
      </c>
      <c r="AA64" s="463">
        <f t="shared" si="11"/>
        <v>1</v>
      </c>
      <c r="AB64" s="463">
        <f t="shared" si="11"/>
        <v>0</v>
      </c>
      <c r="AC64" s="463">
        <f t="shared" si="11"/>
        <v>0</v>
      </c>
      <c r="AD64" s="463">
        <f t="shared" si="11"/>
        <v>0</v>
      </c>
      <c r="AE64" s="463">
        <f t="shared" si="11"/>
        <v>0</v>
      </c>
      <c r="AF64" s="621">
        <f t="shared" si="11"/>
        <v>0</v>
      </c>
      <c r="AG64" s="573"/>
      <c r="AH64" s="464"/>
      <c r="AI64" s="464"/>
      <c r="AJ64" s="464"/>
      <c r="AK64" s="464"/>
      <c r="AL64" s="465"/>
      <c r="AM64" s="463"/>
      <c r="AN64" s="464"/>
      <c r="AO64" s="464"/>
      <c r="AP64" s="464"/>
      <c r="AQ64" s="464"/>
      <c r="AR64" s="465"/>
      <c r="AS64" s="463"/>
      <c r="AT64" s="464"/>
      <c r="AU64" s="464"/>
      <c r="AV64" s="464"/>
      <c r="AW64" s="464"/>
      <c r="AX64" s="465"/>
      <c r="AY64" s="463"/>
      <c r="AZ64" s="464"/>
      <c r="BA64" s="464"/>
      <c r="BB64" s="464"/>
      <c r="BC64" s="464"/>
      <c r="BD64" s="465"/>
      <c r="BE64" s="463"/>
      <c r="BF64" s="464"/>
      <c r="BG64" s="464"/>
      <c r="BH64" s="464"/>
      <c r="BI64" s="464"/>
      <c r="BJ64" s="466"/>
    </row>
    <row r="65" spans="1:62" s="467" customFormat="1" ht="16.5" hidden="1" customHeight="1">
      <c r="A65" s="572"/>
      <c r="E65" s="454" t="s">
        <v>1185</v>
      </c>
      <c r="F65" s="455"/>
      <c r="G65" s="456"/>
      <c r="H65" s="457"/>
      <c r="I65" s="458" t="s">
        <v>1208</v>
      </c>
      <c r="J65" s="566"/>
      <c r="K65" s="566" t="s">
        <v>1203</v>
      </c>
      <c r="L65" s="460" t="s">
        <v>1191</v>
      </c>
      <c r="M65" s="463">
        <f t="shared" si="12"/>
        <v>0</v>
      </c>
      <c r="N65" s="463">
        <f t="shared" si="12"/>
        <v>0</v>
      </c>
      <c r="O65" s="463">
        <f t="shared" si="12"/>
        <v>0</v>
      </c>
      <c r="P65" s="463">
        <f t="shared" si="12"/>
        <v>0</v>
      </c>
      <c r="Q65" s="463">
        <f t="shared" si="12"/>
        <v>0</v>
      </c>
      <c r="R65" s="463">
        <f t="shared" si="12"/>
        <v>0</v>
      </c>
      <c r="S65" s="463">
        <f t="shared" si="12"/>
        <v>0</v>
      </c>
      <c r="T65" s="463">
        <f t="shared" si="12"/>
        <v>0</v>
      </c>
      <c r="U65" s="463">
        <f t="shared" si="12"/>
        <v>0</v>
      </c>
      <c r="V65" s="463">
        <f t="shared" si="12"/>
        <v>0</v>
      </c>
      <c r="W65" s="463">
        <f t="shared" si="12"/>
        <v>0</v>
      </c>
      <c r="X65" s="463">
        <f t="shared" si="11"/>
        <v>0</v>
      </c>
      <c r="Y65" s="463">
        <f t="shared" si="11"/>
        <v>0</v>
      </c>
      <c r="Z65" s="463">
        <f t="shared" si="11"/>
        <v>0</v>
      </c>
      <c r="AA65" s="463">
        <f t="shared" si="11"/>
        <v>1</v>
      </c>
      <c r="AB65" s="463">
        <f t="shared" si="11"/>
        <v>0</v>
      </c>
      <c r="AC65" s="463">
        <f t="shared" si="11"/>
        <v>0</v>
      </c>
      <c r="AD65" s="463">
        <f t="shared" si="11"/>
        <v>0</v>
      </c>
      <c r="AE65" s="463">
        <f t="shared" si="11"/>
        <v>0</v>
      </c>
      <c r="AF65" s="621">
        <f t="shared" si="11"/>
        <v>0</v>
      </c>
      <c r="AG65" s="573"/>
      <c r="AH65" s="464"/>
      <c r="AI65" s="464"/>
      <c r="AJ65" s="464"/>
      <c r="AK65" s="464"/>
      <c r="AL65" s="465"/>
      <c r="AM65" s="463"/>
      <c r="AN65" s="464"/>
      <c r="AO65" s="464"/>
      <c r="AP65" s="464"/>
      <c r="AQ65" s="464"/>
      <c r="AR65" s="465"/>
      <c r="AS65" s="463"/>
      <c r="AT65" s="464"/>
      <c r="AU65" s="464"/>
      <c r="AV65" s="464"/>
      <c r="AW65" s="464"/>
      <c r="AX65" s="465"/>
      <c r="AY65" s="463"/>
      <c r="AZ65" s="464"/>
      <c r="BA65" s="464"/>
      <c r="BB65" s="464"/>
      <c r="BC65" s="464"/>
      <c r="BD65" s="465"/>
      <c r="BE65" s="463"/>
      <c r="BF65" s="464"/>
      <c r="BG65" s="464"/>
      <c r="BH65" s="464"/>
      <c r="BI65" s="464"/>
      <c r="BJ65" s="466"/>
    </row>
    <row r="66" spans="1:62" s="467" customFormat="1" ht="16.5" hidden="1" customHeight="1">
      <c r="A66" s="572"/>
      <c r="E66" s="454" t="s">
        <v>1185</v>
      </c>
      <c r="F66" s="455"/>
      <c r="G66" s="456"/>
      <c r="H66" s="457"/>
      <c r="I66" s="458" t="s">
        <v>1209</v>
      </c>
      <c r="J66" s="566"/>
      <c r="K66" s="566" t="s">
        <v>1204</v>
      </c>
      <c r="L66" s="460" t="s">
        <v>1191</v>
      </c>
      <c r="M66" s="463">
        <f t="shared" si="12"/>
        <v>0</v>
      </c>
      <c r="N66" s="463">
        <f t="shared" si="12"/>
        <v>0</v>
      </c>
      <c r="O66" s="463">
        <f t="shared" si="12"/>
        <v>0</v>
      </c>
      <c r="P66" s="463">
        <f t="shared" si="12"/>
        <v>0</v>
      </c>
      <c r="Q66" s="463">
        <f t="shared" si="12"/>
        <v>0</v>
      </c>
      <c r="R66" s="463">
        <f t="shared" si="12"/>
        <v>0</v>
      </c>
      <c r="S66" s="463">
        <f t="shared" si="12"/>
        <v>0</v>
      </c>
      <c r="T66" s="463">
        <f t="shared" si="12"/>
        <v>0</v>
      </c>
      <c r="U66" s="463">
        <f t="shared" si="12"/>
        <v>0</v>
      </c>
      <c r="V66" s="463">
        <f t="shared" si="12"/>
        <v>0</v>
      </c>
      <c r="W66" s="463">
        <f t="shared" si="12"/>
        <v>0</v>
      </c>
      <c r="X66" s="463">
        <f t="shared" si="11"/>
        <v>0</v>
      </c>
      <c r="Y66" s="463">
        <f t="shared" si="11"/>
        <v>0</v>
      </c>
      <c r="Z66" s="463">
        <f t="shared" si="11"/>
        <v>0</v>
      </c>
      <c r="AA66" s="463">
        <f t="shared" si="11"/>
        <v>0</v>
      </c>
      <c r="AB66" s="463">
        <f t="shared" si="11"/>
        <v>1</v>
      </c>
      <c r="AC66" s="463">
        <f t="shared" si="11"/>
        <v>0</v>
      </c>
      <c r="AD66" s="463">
        <f t="shared" si="11"/>
        <v>0</v>
      </c>
      <c r="AE66" s="463">
        <f t="shared" si="11"/>
        <v>0</v>
      </c>
      <c r="AF66" s="621">
        <f t="shared" si="11"/>
        <v>0</v>
      </c>
      <c r="AG66" s="573"/>
      <c r="AH66" s="464"/>
      <c r="AI66" s="464"/>
      <c r="AJ66" s="464"/>
      <c r="AK66" s="464"/>
      <c r="AL66" s="465"/>
      <c r="AM66" s="463"/>
      <c r="AN66" s="464"/>
      <c r="AO66" s="464"/>
      <c r="AP66" s="464"/>
      <c r="AQ66" s="464"/>
      <c r="AR66" s="465"/>
      <c r="AS66" s="463"/>
      <c r="AT66" s="464"/>
      <c r="AU66" s="464"/>
      <c r="AV66" s="464"/>
      <c r="AW66" s="464"/>
      <c r="AX66" s="465"/>
      <c r="AY66" s="463"/>
      <c r="AZ66" s="464"/>
      <c r="BA66" s="464"/>
      <c r="BB66" s="464"/>
      <c r="BC66" s="464"/>
      <c r="BD66" s="465"/>
      <c r="BE66" s="463"/>
      <c r="BF66" s="464"/>
      <c r="BG66" s="464"/>
      <c r="BH66" s="464"/>
      <c r="BI66" s="464"/>
      <c r="BJ66" s="466"/>
    </row>
    <row r="67" spans="1:62" s="467" customFormat="1" ht="16.5" hidden="1" customHeight="1">
      <c r="A67" s="572"/>
      <c r="E67" s="454" t="s">
        <v>1185</v>
      </c>
      <c r="F67" s="455"/>
      <c r="G67" s="456"/>
      <c r="H67" s="457"/>
      <c r="I67" s="458" t="s">
        <v>1208</v>
      </c>
      <c r="J67" s="566"/>
      <c r="K67" s="566" t="s">
        <v>1203</v>
      </c>
      <c r="L67" s="460" t="s">
        <v>1191</v>
      </c>
      <c r="M67" s="463">
        <f t="shared" si="12"/>
        <v>0</v>
      </c>
      <c r="N67" s="463">
        <f t="shared" si="12"/>
        <v>0</v>
      </c>
      <c r="O67" s="463">
        <f t="shared" si="12"/>
        <v>0</v>
      </c>
      <c r="P67" s="463">
        <f t="shared" si="12"/>
        <v>0</v>
      </c>
      <c r="Q67" s="463">
        <f t="shared" si="12"/>
        <v>0</v>
      </c>
      <c r="R67" s="463">
        <f t="shared" si="12"/>
        <v>0</v>
      </c>
      <c r="S67" s="463">
        <f t="shared" si="12"/>
        <v>0</v>
      </c>
      <c r="T67" s="463">
        <f t="shared" si="12"/>
        <v>0</v>
      </c>
      <c r="U67" s="463">
        <f t="shared" si="12"/>
        <v>0</v>
      </c>
      <c r="V67" s="463">
        <f t="shared" si="12"/>
        <v>0</v>
      </c>
      <c r="W67" s="463">
        <f t="shared" si="12"/>
        <v>0</v>
      </c>
      <c r="X67" s="463">
        <f t="shared" si="11"/>
        <v>0</v>
      </c>
      <c r="Y67" s="463">
        <f t="shared" si="11"/>
        <v>0</v>
      </c>
      <c r="Z67" s="463">
        <f t="shared" si="11"/>
        <v>0</v>
      </c>
      <c r="AA67" s="463">
        <f t="shared" si="11"/>
        <v>1</v>
      </c>
      <c r="AB67" s="463">
        <f t="shared" si="11"/>
        <v>0</v>
      </c>
      <c r="AC67" s="463">
        <f t="shared" si="11"/>
        <v>0</v>
      </c>
      <c r="AD67" s="463">
        <f t="shared" si="11"/>
        <v>0</v>
      </c>
      <c r="AE67" s="463">
        <f t="shared" si="11"/>
        <v>0</v>
      </c>
      <c r="AF67" s="621">
        <f t="shared" si="11"/>
        <v>0</v>
      </c>
      <c r="AG67" s="573"/>
      <c r="AH67" s="464"/>
      <c r="AI67" s="464"/>
      <c r="AJ67" s="464"/>
      <c r="AK67" s="464"/>
      <c r="AL67" s="465"/>
      <c r="AM67" s="463"/>
      <c r="AN67" s="464"/>
      <c r="AO67" s="464"/>
      <c r="AP67" s="464"/>
      <c r="AQ67" s="464"/>
      <c r="AR67" s="465"/>
      <c r="AS67" s="463"/>
      <c r="AT67" s="464"/>
      <c r="AU67" s="464"/>
      <c r="AV67" s="464"/>
      <c r="AW67" s="464"/>
      <c r="AX67" s="465"/>
      <c r="AY67" s="463"/>
      <c r="AZ67" s="464"/>
      <c r="BA67" s="464"/>
      <c r="BB67" s="464"/>
      <c r="BC67" s="464"/>
      <c r="BD67" s="465"/>
      <c r="BE67" s="463"/>
      <c r="BF67" s="464"/>
      <c r="BG67" s="464"/>
      <c r="BH67" s="464"/>
      <c r="BI67" s="464"/>
      <c r="BJ67" s="466"/>
    </row>
    <row r="68" spans="1:62" s="467" customFormat="1" ht="16.5" hidden="1" customHeight="1">
      <c r="A68" s="572"/>
      <c r="E68" s="454" t="s">
        <v>1185</v>
      </c>
      <c r="F68" s="455"/>
      <c r="G68" s="456"/>
      <c r="H68" s="457"/>
      <c r="I68" s="458" t="s">
        <v>1209</v>
      </c>
      <c r="J68" s="566"/>
      <c r="K68" s="566" t="s">
        <v>1204</v>
      </c>
      <c r="L68" s="460" t="s">
        <v>1191</v>
      </c>
      <c r="M68" s="463">
        <f t="shared" si="12"/>
        <v>0</v>
      </c>
      <c r="N68" s="463">
        <f t="shared" si="12"/>
        <v>0</v>
      </c>
      <c r="O68" s="463">
        <f t="shared" si="12"/>
        <v>0</v>
      </c>
      <c r="P68" s="463">
        <f t="shared" si="12"/>
        <v>0</v>
      </c>
      <c r="Q68" s="463">
        <f t="shared" si="12"/>
        <v>0</v>
      </c>
      <c r="R68" s="463">
        <f t="shared" si="12"/>
        <v>0</v>
      </c>
      <c r="S68" s="463">
        <f t="shared" si="12"/>
        <v>0</v>
      </c>
      <c r="T68" s="463">
        <f t="shared" si="12"/>
        <v>0</v>
      </c>
      <c r="U68" s="463">
        <f t="shared" si="12"/>
        <v>0</v>
      </c>
      <c r="V68" s="463">
        <f t="shared" si="12"/>
        <v>0</v>
      </c>
      <c r="W68" s="463">
        <f t="shared" si="12"/>
        <v>0</v>
      </c>
      <c r="X68" s="463">
        <f t="shared" si="11"/>
        <v>0</v>
      </c>
      <c r="Y68" s="463">
        <f t="shared" si="11"/>
        <v>0</v>
      </c>
      <c r="Z68" s="463">
        <f t="shared" si="11"/>
        <v>0</v>
      </c>
      <c r="AA68" s="463">
        <f t="shared" si="11"/>
        <v>0</v>
      </c>
      <c r="AB68" s="463">
        <f t="shared" si="11"/>
        <v>1</v>
      </c>
      <c r="AC68" s="463">
        <f t="shared" si="11"/>
        <v>0</v>
      </c>
      <c r="AD68" s="463">
        <f t="shared" si="11"/>
        <v>0</v>
      </c>
      <c r="AE68" s="463">
        <f t="shared" si="11"/>
        <v>0</v>
      </c>
      <c r="AF68" s="621">
        <f t="shared" si="11"/>
        <v>0</v>
      </c>
      <c r="AG68" s="573"/>
      <c r="AH68" s="464"/>
      <c r="AI68" s="464"/>
      <c r="AJ68" s="464"/>
      <c r="AK68" s="464"/>
      <c r="AL68" s="465"/>
      <c r="AM68" s="463"/>
      <c r="AN68" s="464"/>
      <c r="AO68" s="464"/>
      <c r="AP68" s="464"/>
      <c r="AQ68" s="464"/>
      <c r="AR68" s="465"/>
      <c r="AS68" s="463"/>
      <c r="AT68" s="464"/>
      <c r="AU68" s="464"/>
      <c r="AV68" s="464"/>
      <c r="AW68" s="464"/>
      <c r="AX68" s="465"/>
      <c r="AY68" s="463"/>
      <c r="AZ68" s="464"/>
      <c r="BA68" s="464"/>
      <c r="BB68" s="464"/>
      <c r="BC68" s="464"/>
      <c r="BD68" s="465"/>
      <c r="BE68" s="463"/>
      <c r="BF68" s="464"/>
      <c r="BG68" s="464"/>
      <c r="BH68" s="464"/>
      <c r="BI68" s="464"/>
      <c r="BJ68" s="466"/>
    </row>
    <row r="69" spans="1:62" s="467" customFormat="1" ht="16.5" hidden="1" customHeight="1">
      <c r="A69" s="572"/>
      <c r="E69" s="454" t="s">
        <v>1185</v>
      </c>
      <c r="F69" s="455"/>
      <c r="G69" s="456"/>
      <c r="H69" s="457"/>
      <c r="I69" s="458" t="s">
        <v>1209</v>
      </c>
      <c r="J69" s="566"/>
      <c r="K69" s="566" t="s">
        <v>1204</v>
      </c>
      <c r="L69" s="460" t="s">
        <v>1191</v>
      </c>
      <c r="M69" s="463">
        <f t="shared" si="12"/>
        <v>0</v>
      </c>
      <c r="N69" s="463">
        <f t="shared" si="12"/>
        <v>0</v>
      </c>
      <c r="O69" s="463">
        <f t="shared" si="12"/>
        <v>0</v>
      </c>
      <c r="P69" s="463">
        <f t="shared" si="12"/>
        <v>0</v>
      </c>
      <c r="Q69" s="463">
        <f t="shared" si="12"/>
        <v>0</v>
      </c>
      <c r="R69" s="463">
        <f t="shared" si="12"/>
        <v>0</v>
      </c>
      <c r="S69" s="463">
        <f t="shared" si="12"/>
        <v>0</v>
      </c>
      <c r="T69" s="463">
        <f t="shared" si="12"/>
        <v>0</v>
      </c>
      <c r="U69" s="463">
        <f t="shared" si="12"/>
        <v>0</v>
      </c>
      <c r="V69" s="463">
        <f t="shared" si="12"/>
        <v>0</v>
      </c>
      <c r="W69" s="463">
        <f t="shared" si="12"/>
        <v>0</v>
      </c>
      <c r="X69" s="463">
        <f t="shared" si="11"/>
        <v>0</v>
      </c>
      <c r="Y69" s="463">
        <f t="shared" si="11"/>
        <v>0</v>
      </c>
      <c r="Z69" s="463">
        <f t="shared" si="11"/>
        <v>0</v>
      </c>
      <c r="AA69" s="463">
        <f t="shared" si="11"/>
        <v>0</v>
      </c>
      <c r="AB69" s="463">
        <f t="shared" si="11"/>
        <v>1</v>
      </c>
      <c r="AC69" s="463">
        <f t="shared" si="11"/>
        <v>0</v>
      </c>
      <c r="AD69" s="463">
        <f t="shared" si="11"/>
        <v>0</v>
      </c>
      <c r="AE69" s="463">
        <f t="shared" si="11"/>
        <v>0</v>
      </c>
      <c r="AF69" s="621">
        <f t="shared" si="11"/>
        <v>0</v>
      </c>
      <c r="AG69" s="573"/>
      <c r="AH69" s="464"/>
      <c r="AI69" s="464"/>
      <c r="AJ69" s="464"/>
      <c r="AK69" s="464"/>
      <c r="AL69" s="465"/>
      <c r="AM69" s="463"/>
      <c r="AN69" s="464"/>
      <c r="AO69" s="464"/>
      <c r="AP69" s="464"/>
      <c r="AQ69" s="464"/>
      <c r="AR69" s="465"/>
      <c r="AS69" s="463"/>
      <c r="AT69" s="464"/>
      <c r="AU69" s="464"/>
      <c r="AV69" s="464"/>
      <c r="AW69" s="464"/>
      <c r="AX69" s="465"/>
      <c r="AY69" s="463"/>
      <c r="AZ69" s="464"/>
      <c r="BA69" s="464"/>
      <c r="BB69" s="464"/>
      <c r="BC69" s="464"/>
      <c r="BD69" s="465"/>
      <c r="BE69" s="463"/>
      <c r="BF69" s="464"/>
      <c r="BG69" s="464"/>
      <c r="BH69" s="464"/>
      <c r="BI69" s="464"/>
      <c r="BJ69" s="466"/>
    </row>
    <row r="70" spans="1:62" s="467" customFormat="1" ht="16.5" hidden="1" customHeight="1">
      <c r="A70" s="572"/>
      <c r="E70" s="454" t="s">
        <v>1185</v>
      </c>
      <c r="F70" s="455"/>
      <c r="G70" s="456"/>
      <c r="H70" s="457"/>
      <c r="I70" s="458" t="s">
        <v>1209</v>
      </c>
      <c r="J70" s="566"/>
      <c r="K70" s="566" t="s">
        <v>1204</v>
      </c>
      <c r="L70" s="460" t="s">
        <v>1191</v>
      </c>
      <c r="M70" s="463">
        <f t="shared" si="12"/>
        <v>0</v>
      </c>
      <c r="N70" s="463">
        <f t="shared" si="12"/>
        <v>0</v>
      </c>
      <c r="O70" s="463">
        <f t="shared" si="12"/>
        <v>0</v>
      </c>
      <c r="P70" s="463">
        <f t="shared" si="12"/>
        <v>0</v>
      </c>
      <c r="Q70" s="463">
        <f t="shared" si="12"/>
        <v>0</v>
      </c>
      <c r="R70" s="463">
        <f t="shared" si="12"/>
        <v>0</v>
      </c>
      <c r="S70" s="463">
        <f t="shared" si="12"/>
        <v>0</v>
      </c>
      <c r="T70" s="463">
        <f t="shared" si="12"/>
        <v>0</v>
      </c>
      <c r="U70" s="463">
        <f t="shared" si="12"/>
        <v>0</v>
      </c>
      <c r="V70" s="463">
        <f t="shared" si="12"/>
        <v>0</v>
      </c>
      <c r="W70" s="463">
        <f t="shared" si="12"/>
        <v>0</v>
      </c>
      <c r="X70" s="463">
        <f t="shared" si="11"/>
        <v>0</v>
      </c>
      <c r="Y70" s="463">
        <f t="shared" si="11"/>
        <v>0</v>
      </c>
      <c r="Z70" s="463">
        <f t="shared" si="11"/>
        <v>0</v>
      </c>
      <c r="AA70" s="463">
        <f t="shared" si="11"/>
        <v>0</v>
      </c>
      <c r="AB70" s="463">
        <f t="shared" si="11"/>
        <v>1</v>
      </c>
      <c r="AC70" s="463">
        <f t="shared" si="11"/>
        <v>0</v>
      </c>
      <c r="AD70" s="463">
        <f t="shared" si="11"/>
        <v>0</v>
      </c>
      <c r="AE70" s="463">
        <f t="shared" si="11"/>
        <v>0</v>
      </c>
      <c r="AF70" s="621">
        <f t="shared" si="11"/>
        <v>0</v>
      </c>
      <c r="AG70" s="573"/>
      <c r="AH70" s="464"/>
      <c r="AI70" s="464"/>
      <c r="AJ70" s="464"/>
      <c r="AK70" s="464"/>
      <c r="AL70" s="465"/>
      <c r="AM70" s="463"/>
      <c r="AN70" s="464"/>
      <c r="AO70" s="464"/>
      <c r="AP70" s="464"/>
      <c r="AQ70" s="464"/>
      <c r="AR70" s="465"/>
      <c r="AS70" s="463"/>
      <c r="AT70" s="464"/>
      <c r="AU70" s="464"/>
      <c r="AV70" s="464"/>
      <c r="AW70" s="464"/>
      <c r="AX70" s="465"/>
      <c r="AY70" s="463"/>
      <c r="AZ70" s="464"/>
      <c r="BA70" s="464"/>
      <c r="BB70" s="464"/>
      <c r="BC70" s="464"/>
      <c r="BD70" s="465"/>
      <c r="BE70" s="463"/>
      <c r="BF70" s="464"/>
      <c r="BG70" s="464"/>
      <c r="BH70" s="464"/>
      <c r="BI70" s="464"/>
      <c r="BJ70" s="466"/>
    </row>
    <row r="71" spans="1:62" s="467" customFormat="1" ht="16.5" hidden="1" customHeight="1">
      <c r="A71" s="572"/>
      <c r="E71" s="454" t="s">
        <v>1185</v>
      </c>
      <c r="F71" s="455"/>
      <c r="G71" s="456"/>
      <c r="H71" s="457"/>
      <c r="I71" s="458" t="s">
        <v>1208</v>
      </c>
      <c r="J71" s="566"/>
      <c r="K71" s="566" t="s">
        <v>1203</v>
      </c>
      <c r="L71" s="460" t="s">
        <v>1191</v>
      </c>
      <c r="M71" s="463">
        <f t="shared" si="12"/>
        <v>0</v>
      </c>
      <c r="N71" s="463">
        <f t="shared" si="12"/>
        <v>0</v>
      </c>
      <c r="O71" s="463">
        <f t="shared" si="12"/>
        <v>0</v>
      </c>
      <c r="P71" s="463">
        <f t="shared" si="12"/>
        <v>0</v>
      </c>
      <c r="Q71" s="463">
        <f t="shared" si="12"/>
        <v>0</v>
      </c>
      <c r="R71" s="463">
        <f t="shared" si="12"/>
        <v>0</v>
      </c>
      <c r="S71" s="463">
        <f t="shared" si="12"/>
        <v>0</v>
      </c>
      <c r="T71" s="463">
        <f t="shared" si="12"/>
        <v>0</v>
      </c>
      <c r="U71" s="463">
        <f t="shared" si="12"/>
        <v>0</v>
      </c>
      <c r="V71" s="463">
        <f t="shared" si="12"/>
        <v>0</v>
      </c>
      <c r="W71" s="463">
        <f t="shared" si="12"/>
        <v>0</v>
      </c>
      <c r="X71" s="463">
        <f t="shared" si="11"/>
        <v>0</v>
      </c>
      <c r="Y71" s="463">
        <f t="shared" si="11"/>
        <v>0</v>
      </c>
      <c r="Z71" s="463">
        <f t="shared" si="11"/>
        <v>0</v>
      </c>
      <c r="AA71" s="463">
        <f t="shared" si="11"/>
        <v>1</v>
      </c>
      <c r="AB71" s="463">
        <f t="shared" si="11"/>
        <v>0</v>
      </c>
      <c r="AC71" s="463">
        <f t="shared" si="11"/>
        <v>0</v>
      </c>
      <c r="AD71" s="463">
        <f t="shared" si="11"/>
        <v>0</v>
      </c>
      <c r="AE71" s="463">
        <f t="shared" si="11"/>
        <v>0</v>
      </c>
      <c r="AF71" s="621">
        <f t="shared" si="11"/>
        <v>0</v>
      </c>
      <c r="AG71" s="573"/>
      <c r="AH71" s="464"/>
      <c r="AI71" s="464"/>
      <c r="AJ71" s="464"/>
      <c r="AK71" s="464"/>
      <c r="AL71" s="465"/>
      <c r="AM71" s="463"/>
      <c r="AN71" s="464"/>
      <c r="AO71" s="464"/>
      <c r="AP71" s="464"/>
      <c r="AQ71" s="464"/>
      <c r="AR71" s="465"/>
      <c r="AS71" s="463"/>
      <c r="AT71" s="464"/>
      <c r="AU71" s="464"/>
      <c r="AV71" s="464"/>
      <c r="AW71" s="464"/>
      <c r="AX71" s="465"/>
      <c r="AY71" s="463"/>
      <c r="AZ71" s="464"/>
      <c r="BA71" s="464"/>
      <c r="BB71" s="464"/>
      <c r="BC71" s="464"/>
      <c r="BD71" s="465"/>
      <c r="BE71" s="463"/>
      <c r="BF71" s="464"/>
      <c r="BG71" s="464"/>
      <c r="BH71" s="464"/>
      <c r="BI71" s="464"/>
      <c r="BJ71" s="466"/>
    </row>
    <row r="72" spans="1:62" s="467" customFormat="1" ht="16.5" hidden="1" customHeight="1">
      <c r="A72" s="572"/>
      <c r="E72" s="454" t="s">
        <v>1185</v>
      </c>
      <c r="F72" s="455"/>
      <c r="G72" s="456"/>
      <c r="H72" s="457"/>
      <c r="I72" s="458" t="s">
        <v>1209</v>
      </c>
      <c r="J72" s="566"/>
      <c r="K72" s="566" t="s">
        <v>1204</v>
      </c>
      <c r="L72" s="460" t="s">
        <v>1191</v>
      </c>
      <c r="M72" s="463">
        <f t="shared" si="12"/>
        <v>0</v>
      </c>
      <c r="N72" s="463">
        <f t="shared" si="12"/>
        <v>0</v>
      </c>
      <c r="O72" s="463">
        <f t="shared" ref="M72:W95" si="13">+IF($L72=O$10,IF($K72=O$11,1,0),0)</f>
        <v>0</v>
      </c>
      <c r="P72" s="463">
        <f t="shared" si="13"/>
        <v>0</v>
      </c>
      <c r="Q72" s="463">
        <f t="shared" si="13"/>
        <v>0</v>
      </c>
      <c r="R72" s="463">
        <f t="shared" si="13"/>
        <v>0</v>
      </c>
      <c r="S72" s="463">
        <f t="shared" si="13"/>
        <v>0</v>
      </c>
      <c r="T72" s="463">
        <f t="shared" si="13"/>
        <v>0</v>
      </c>
      <c r="U72" s="463">
        <f t="shared" si="13"/>
        <v>0</v>
      </c>
      <c r="V72" s="463">
        <f t="shared" si="13"/>
        <v>0</v>
      </c>
      <c r="W72" s="463">
        <f t="shared" si="13"/>
        <v>0</v>
      </c>
      <c r="X72" s="463">
        <f t="shared" si="11"/>
        <v>0</v>
      </c>
      <c r="Y72" s="463">
        <f t="shared" si="11"/>
        <v>0</v>
      </c>
      <c r="Z72" s="463">
        <f t="shared" si="11"/>
        <v>0</v>
      </c>
      <c r="AA72" s="463">
        <f t="shared" si="11"/>
        <v>0</v>
      </c>
      <c r="AB72" s="463">
        <f t="shared" si="11"/>
        <v>1</v>
      </c>
      <c r="AC72" s="463">
        <f t="shared" si="11"/>
        <v>0</v>
      </c>
      <c r="AD72" s="463">
        <f t="shared" si="11"/>
        <v>0</v>
      </c>
      <c r="AE72" s="463">
        <f t="shared" si="11"/>
        <v>0</v>
      </c>
      <c r="AF72" s="621">
        <f t="shared" si="11"/>
        <v>0</v>
      </c>
      <c r="AG72" s="573"/>
      <c r="AH72" s="464"/>
      <c r="AI72" s="464"/>
      <c r="AJ72" s="464"/>
      <c r="AK72" s="464"/>
      <c r="AL72" s="465"/>
      <c r="AM72" s="463"/>
      <c r="AN72" s="464"/>
      <c r="AO72" s="464"/>
      <c r="AP72" s="464"/>
      <c r="AQ72" s="464"/>
      <c r="AR72" s="465"/>
      <c r="AS72" s="463"/>
      <c r="AT72" s="464"/>
      <c r="AU72" s="464"/>
      <c r="AV72" s="464"/>
      <c r="AW72" s="464"/>
      <c r="AX72" s="465"/>
      <c r="AY72" s="463"/>
      <c r="AZ72" s="464"/>
      <c r="BA72" s="464"/>
      <c r="BB72" s="464"/>
      <c r="BC72" s="464"/>
      <c r="BD72" s="465"/>
      <c r="BE72" s="463"/>
      <c r="BF72" s="464"/>
      <c r="BG72" s="464"/>
      <c r="BH72" s="464"/>
      <c r="BI72" s="464"/>
      <c r="BJ72" s="466"/>
    </row>
    <row r="73" spans="1:62" s="467" customFormat="1" ht="16.5" hidden="1" customHeight="1">
      <c r="A73" s="572"/>
      <c r="E73" s="454" t="s">
        <v>1185</v>
      </c>
      <c r="F73" s="455"/>
      <c r="G73" s="456"/>
      <c r="H73" s="457"/>
      <c r="I73" s="458" t="s">
        <v>1208</v>
      </c>
      <c r="J73" s="566"/>
      <c r="K73" s="566" t="s">
        <v>1203</v>
      </c>
      <c r="L73" s="460" t="s">
        <v>1191</v>
      </c>
      <c r="M73" s="463">
        <f t="shared" si="13"/>
        <v>0</v>
      </c>
      <c r="N73" s="463">
        <f t="shared" si="13"/>
        <v>0</v>
      </c>
      <c r="O73" s="463">
        <f t="shared" si="13"/>
        <v>0</v>
      </c>
      <c r="P73" s="463">
        <f t="shared" si="13"/>
        <v>0</v>
      </c>
      <c r="Q73" s="463">
        <f t="shared" si="13"/>
        <v>0</v>
      </c>
      <c r="R73" s="463">
        <f t="shared" si="13"/>
        <v>0</v>
      </c>
      <c r="S73" s="463">
        <f t="shared" si="13"/>
        <v>0</v>
      </c>
      <c r="T73" s="463">
        <f t="shared" si="13"/>
        <v>0</v>
      </c>
      <c r="U73" s="463">
        <f t="shared" si="13"/>
        <v>0</v>
      </c>
      <c r="V73" s="463">
        <f t="shared" si="13"/>
        <v>0</v>
      </c>
      <c r="W73" s="463">
        <f t="shared" si="13"/>
        <v>0</v>
      </c>
      <c r="X73" s="463">
        <f t="shared" si="11"/>
        <v>0</v>
      </c>
      <c r="Y73" s="463">
        <f t="shared" si="11"/>
        <v>0</v>
      </c>
      <c r="Z73" s="463">
        <f t="shared" si="11"/>
        <v>0</v>
      </c>
      <c r="AA73" s="463">
        <f t="shared" si="11"/>
        <v>1</v>
      </c>
      <c r="AB73" s="463">
        <f t="shared" si="11"/>
        <v>0</v>
      </c>
      <c r="AC73" s="463">
        <f t="shared" si="11"/>
        <v>0</v>
      </c>
      <c r="AD73" s="463">
        <f t="shared" si="11"/>
        <v>0</v>
      </c>
      <c r="AE73" s="463">
        <f t="shared" si="11"/>
        <v>0</v>
      </c>
      <c r="AF73" s="621">
        <f t="shared" si="11"/>
        <v>0</v>
      </c>
      <c r="AG73" s="573"/>
      <c r="AH73" s="464"/>
      <c r="AI73" s="464"/>
      <c r="AJ73" s="464"/>
      <c r="AK73" s="464"/>
      <c r="AL73" s="465"/>
      <c r="AM73" s="463"/>
      <c r="AN73" s="464"/>
      <c r="AO73" s="464"/>
      <c r="AP73" s="464"/>
      <c r="AQ73" s="464"/>
      <c r="AR73" s="465"/>
      <c r="AS73" s="463"/>
      <c r="AT73" s="464"/>
      <c r="AU73" s="464"/>
      <c r="AV73" s="464"/>
      <c r="AW73" s="464"/>
      <c r="AX73" s="465"/>
      <c r="AY73" s="463"/>
      <c r="AZ73" s="464"/>
      <c r="BA73" s="464"/>
      <c r="BB73" s="464"/>
      <c r="BC73" s="464"/>
      <c r="BD73" s="465"/>
      <c r="BE73" s="463"/>
      <c r="BF73" s="464"/>
      <c r="BG73" s="464"/>
      <c r="BH73" s="464"/>
      <c r="BI73" s="464"/>
      <c r="BJ73" s="466"/>
    </row>
    <row r="74" spans="1:62" s="467" customFormat="1" ht="16.5" hidden="1" customHeight="1">
      <c r="A74" s="572"/>
      <c r="E74" s="454" t="s">
        <v>1185</v>
      </c>
      <c r="F74" s="455"/>
      <c r="G74" s="456"/>
      <c r="H74" s="457"/>
      <c r="I74" s="458" t="s">
        <v>1209</v>
      </c>
      <c r="J74" s="566"/>
      <c r="K74" s="566" t="s">
        <v>1204</v>
      </c>
      <c r="L74" s="460" t="s">
        <v>1191</v>
      </c>
      <c r="M74" s="463">
        <f t="shared" si="13"/>
        <v>0</v>
      </c>
      <c r="N74" s="463">
        <f t="shared" si="13"/>
        <v>0</v>
      </c>
      <c r="O74" s="463">
        <f t="shared" si="13"/>
        <v>0</v>
      </c>
      <c r="P74" s="463">
        <f t="shared" si="13"/>
        <v>0</v>
      </c>
      <c r="Q74" s="463">
        <f t="shared" si="13"/>
        <v>0</v>
      </c>
      <c r="R74" s="463">
        <f t="shared" si="13"/>
        <v>0</v>
      </c>
      <c r="S74" s="463">
        <f t="shared" si="13"/>
        <v>0</v>
      </c>
      <c r="T74" s="463">
        <f t="shared" si="13"/>
        <v>0</v>
      </c>
      <c r="U74" s="463">
        <f t="shared" si="13"/>
        <v>0</v>
      </c>
      <c r="V74" s="463">
        <f t="shared" si="13"/>
        <v>0</v>
      </c>
      <c r="W74" s="463">
        <f t="shared" si="13"/>
        <v>0</v>
      </c>
      <c r="X74" s="463">
        <f t="shared" si="11"/>
        <v>0</v>
      </c>
      <c r="Y74" s="463">
        <f t="shared" si="11"/>
        <v>0</v>
      </c>
      <c r="Z74" s="463">
        <f t="shared" si="11"/>
        <v>0</v>
      </c>
      <c r="AA74" s="463">
        <f t="shared" si="11"/>
        <v>0</v>
      </c>
      <c r="AB74" s="463">
        <f t="shared" si="11"/>
        <v>1</v>
      </c>
      <c r="AC74" s="463">
        <f t="shared" si="11"/>
        <v>0</v>
      </c>
      <c r="AD74" s="463">
        <f t="shared" si="11"/>
        <v>0</v>
      </c>
      <c r="AE74" s="463">
        <f t="shared" si="11"/>
        <v>0</v>
      </c>
      <c r="AF74" s="621">
        <f t="shared" ref="X74:AF99" si="14">+IF($L74=AF$10,IF($K74=AF$11,1,0),0)</f>
        <v>0</v>
      </c>
      <c r="AG74" s="573"/>
      <c r="AH74" s="464"/>
      <c r="AI74" s="464"/>
      <c r="AJ74" s="464"/>
      <c r="AK74" s="464"/>
      <c r="AL74" s="465"/>
      <c r="AM74" s="463"/>
      <c r="AN74" s="464"/>
      <c r="AO74" s="464"/>
      <c r="AP74" s="464"/>
      <c r="AQ74" s="464"/>
      <c r="AR74" s="465"/>
      <c r="AS74" s="463"/>
      <c r="AT74" s="464"/>
      <c r="AU74" s="464"/>
      <c r="AV74" s="464"/>
      <c r="AW74" s="464"/>
      <c r="AX74" s="465"/>
      <c r="AY74" s="463"/>
      <c r="AZ74" s="464"/>
      <c r="BA74" s="464"/>
      <c r="BB74" s="464"/>
      <c r="BC74" s="464"/>
      <c r="BD74" s="465"/>
      <c r="BE74" s="463"/>
      <c r="BF74" s="464"/>
      <c r="BG74" s="464"/>
      <c r="BH74" s="464"/>
      <c r="BI74" s="464"/>
      <c r="BJ74" s="466"/>
    </row>
    <row r="75" spans="1:62" s="467" customFormat="1" ht="16.5" hidden="1" customHeight="1">
      <c r="A75" s="572"/>
      <c r="E75" s="454" t="s">
        <v>1185</v>
      </c>
      <c r="F75" s="455"/>
      <c r="G75" s="456"/>
      <c r="H75" s="457"/>
      <c r="I75" s="458" t="s">
        <v>1208</v>
      </c>
      <c r="J75" s="566"/>
      <c r="K75" s="566" t="s">
        <v>1203</v>
      </c>
      <c r="L75" s="460" t="s">
        <v>1191</v>
      </c>
      <c r="M75" s="463">
        <f t="shared" si="13"/>
        <v>0</v>
      </c>
      <c r="N75" s="463">
        <f t="shared" si="13"/>
        <v>0</v>
      </c>
      <c r="O75" s="463">
        <f t="shared" si="13"/>
        <v>0</v>
      </c>
      <c r="P75" s="463">
        <f t="shared" si="13"/>
        <v>0</v>
      </c>
      <c r="Q75" s="463">
        <f t="shared" si="13"/>
        <v>0</v>
      </c>
      <c r="R75" s="463">
        <f t="shared" si="13"/>
        <v>0</v>
      </c>
      <c r="S75" s="463">
        <f t="shared" si="13"/>
        <v>0</v>
      </c>
      <c r="T75" s="463">
        <f t="shared" si="13"/>
        <v>0</v>
      </c>
      <c r="U75" s="463">
        <f t="shared" si="13"/>
        <v>0</v>
      </c>
      <c r="V75" s="463">
        <f t="shared" si="13"/>
        <v>0</v>
      </c>
      <c r="W75" s="463">
        <f t="shared" si="13"/>
        <v>0</v>
      </c>
      <c r="X75" s="463">
        <f t="shared" si="14"/>
        <v>0</v>
      </c>
      <c r="Y75" s="463">
        <f t="shared" si="14"/>
        <v>0</v>
      </c>
      <c r="Z75" s="463">
        <f t="shared" si="14"/>
        <v>0</v>
      </c>
      <c r="AA75" s="463">
        <f t="shared" si="14"/>
        <v>1</v>
      </c>
      <c r="AB75" s="463">
        <f t="shared" si="14"/>
        <v>0</v>
      </c>
      <c r="AC75" s="463">
        <f t="shared" si="14"/>
        <v>0</v>
      </c>
      <c r="AD75" s="463">
        <f t="shared" si="14"/>
        <v>0</v>
      </c>
      <c r="AE75" s="463">
        <f t="shared" si="14"/>
        <v>0</v>
      </c>
      <c r="AF75" s="621">
        <f t="shared" si="14"/>
        <v>0</v>
      </c>
      <c r="AG75" s="573"/>
      <c r="AH75" s="464"/>
      <c r="AI75" s="464"/>
      <c r="AJ75" s="464"/>
      <c r="AK75" s="464"/>
      <c r="AL75" s="465"/>
      <c r="AM75" s="463"/>
      <c r="AN75" s="464"/>
      <c r="AO75" s="464"/>
      <c r="AP75" s="464"/>
      <c r="AQ75" s="464"/>
      <c r="AR75" s="465"/>
      <c r="AS75" s="463"/>
      <c r="AT75" s="464"/>
      <c r="AU75" s="464"/>
      <c r="AV75" s="464"/>
      <c r="AW75" s="464"/>
      <c r="AX75" s="465"/>
      <c r="AY75" s="463"/>
      <c r="AZ75" s="464"/>
      <c r="BA75" s="464"/>
      <c r="BB75" s="464"/>
      <c r="BC75" s="464"/>
      <c r="BD75" s="465"/>
      <c r="BE75" s="463"/>
      <c r="BF75" s="464"/>
      <c r="BG75" s="464"/>
      <c r="BH75" s="464"/>
      <c r="BI75" s="464"/>
      <c r="BJ75" s="466"/>
    </row>
    <row r="76" spans="1:62" s="467" customFormat="1" ht="16.5" hidden="1" customHeight="1">
      <c r="A76" s="572"/>
      <c r="E76" s="454" t="s">
        <v>1185</v>
      </c>
      <c r="F76" s="455"/>
      <c r="G76" s="456"/>
      <c r="H76" s="457"/>
      <c r="I76" s="458" t="s">
        <v>1208</v>
      </c>
      <c r="J76" s="566"/>
      <c r="K76" s="566" t="s">
        <v>1203</v>
      </c>
      <c r="L76" s="460" t="s">
        <v>1191</v>
      </c>
      <c r="M76" s="463">
        <f t="shared" si="13"/>
        <v>0</v>
      </c>
      <c r="N76" s="463">
        <f t="shared" si="13"/>
        <v>0</v>
      </c>
      <c r="O76" s="463">
        <f t="shared" si="13"/>
        <v>0</v>
      </c>
      <c r="P76" s="463">
        <f t="shared" si="13"/>
        <v>0</v>
      </c>
      <c r="Q76" s="463">
        <f t="shared" si="13"/>
        <v>0</v>
      </c>
      <c r="R76" s="463">
        <f t="shared" si="13"/>
        <v>0</v>
      </c>
      <c r="S76" s="463">
        <f t="shared" si="13"/>
        <v>0</v>
      </c>
      <c r="T76" s="463">
        <f t="shared" si="13"/>
        <v>0</v>
      </c>
      <c r="U76" s="463">
        <f t="shared" si="13"/>
        <v>0</v>
      </c>
      <c r="V76" s="463">
        <f t="shared" si="13"/>
        <v>0</v>
      </c>
      <c r="W76" s="463">
        <f t="shared" si="13"/>
        <v>0</v>
      </c>
      <c r="X76" s="463">
        <f t="shared" si="14"/>
        <v>0</v>
      </c>
      <c r="Y76" s="463">
        <f t="shared" si="14"/>
        <v>0</v>
      </c>
      <c r="Z76" s="463">
        <f t="shared" si="14"/>
        <v>0</v>
      </c>
      <c r="AA76" s="463">
        <f t="shared" si="14"/>
        <v>1</v>
      </c>
      <c r="AB76" s="463">
        <f t="shared" si="14"/>
        <v>0</v>
      </c>
      <c r="AC76" s="463">
        <f t="shared" si="14"/>
        <v>0</v>
      </c>
      <c r="AD76" s="463">
        <f t="shared" si="14"/>
        <v>0</v>
      </c>
      <c r="AE76" s="463">
        <f t="shared" si="14"/>
        <v>0</v>
      </c>
      <c r="AF76" s="621">
        <f t="shared" si="14"/>
        <v>0</v>
      </c>
      <c r="AG76" s="573"/>
      <c r="AH76" s="464"/>
      <c r="AI76" s="464"/>
      <c r="AJ76" s="464"/>
      <c r="AK76" s="464"/>
      <c r="AL76" s="465"/>
      <c r="AM76" s="463"/>
      <c r="AN76" s="464"/>
      <c r="AO76" s="464"/>
      <c r="AP76" s="464"/>
      <c r="AQ76" s="464"/>
      <c r="AR76" s="465"/>
      <c r="AS76" s="463"/>
      <c r="AT76" s="464"/>
      <c r="AU76" s="464"/>
      <c r="AV76" s="464"/>
      <c r="AW76" s="464"/>
      <c r="AX76" s="465"/>
      <c r="AY76" s="463"/>
      <c r="AZ76" s="464"/>
      <c r="BA76" s="464"/>
      <c r="BB76" s="464"/>
      <c r="BC76" s="464"/>
      <c r="BD76" s="465"/>
      <c r="BE76" s="463"/>
      <c r="BF76" s="464"/>
      <c r="BG76" s="464"/>
      <c r="BH76" s="464"/>
      <c r="BI76" s="464"/>
      <c r="BJ76" s="466"/>
    </row>
    <row r="77" spans="1:62" s="467" customFormat="1" ht="16.5" hidden="1" customHeight="1">
      <c r="A77" s="572"/>
      <c r="E77" s="454" t="s">
        <v>1185</v>
      </c>
      <c r="F77" s="455"/>
      <c r="G77" s="456"/>
      <c r="H77" s="457"/>
      <c r="I77" s="458" t="s">
        <v>1208</v>
      </c>
      <c r="J77" s="566"/>
      <c r="K77" s="566" t="s">
        <v>1203</v>
      </c>
      <c r="L77" s="460" t="s">
        <v>1191</v>
      </c>
      <c r="M77" s="463">
        <f t="shared" si="13"/>
        <v>0</v>
      </c>
      <c r="N77" s="463">
        <f t="shared" si="13"/>
        <v>0</v>
      </c>
      <c r="O77" s="463">
        <f t="shared" si="13"/>
        <v>0</v>
      </c>
      <c r="P77" s="463">
        <f t="shared" si="13"/>
        <v>0</v>
      </c>
      <c r="Q77" s="463">
        <f t="shared" si="13"/>
        <v>0</v>
      </c>
      <c r="R77" s="463">
        <f t="shared" si="13"/>
        <v>0</v>
      </c>
      <c r="S77" s="463">
        <f t="shared" si="13"/>
        <v>0</v>
      </c>
      <c r="T77" s="463">
        <f t="shared" si="13"/>
        <v>0</v>
      </c>
      <c r="U77" s="463">
        <f t="shared" si="13"/>
        <v>0</v>
      </c>
      <c r="V77" s="463">
        <f t="shared" si="13"/>
        <v>0</v>
      </c>
      <c r="W77" s="463">
        <f t="shared" si="13"/>
        <v>0</v>
      </c>
      <c r="X77" s="463">
        <f t="shared" si="14"/>
        <v>0</v>
      </c>
      <c r="Y77" s="463">
        <f t="shared" si="14"/>
        <v>0</v>
      </c>
      <c r="Z77" s="463">
        <f t="shared" si="14"/>
        <v>0</v>
      </c>
      <c r="AA77" s="463">
        <f t="shared" si="14"/>
        <v>1</v>
      </c>
      <c r="AB77" s="463">
        <f t="shared" si="14"/>
        <v>0</v>
      </c>
      <c r="AC77" s="463">
        <f t="shared" si="14"/>
        <v>0</v>
      </c>
      <c r="AD77" s="463">
        <f t="shared" si="14"/>
        <v>0</v>
      </c>
      <c r="AE77" s="463">
        <f t="shared" si="14"/>
        <v>0</v>
      </c>
      <c r="AF77" s="621">
        <f t="shared" si="14"/>
        <v>0</v>
      </c>
      <c r="AG77" s="573"/>
      <c r="AH77" s="464"/>
      <c r="AI77" s="464"/>
      <c r="AJ77" s="464"/>
      <c r="AK77" s="464"/>
      <c r="AL77" s="465"/>
      <c r="AM77" s="463"/>
      <c r="AN77" s="464"/>
      <c r="AO77" s="464"/>
      <c r="AP77" s="464"/>
      <c r="AQ77" s="464"/>
      <c r="AR77" s="465"/>
      <c r="AS77" s="463"/>
      <c r="AT77" s="464"/>
      <c r="AU77" s="464"/>
      <c r="AV77" s="464"/>
      <c r="AW77" s="464"/>
      <c r="AX77" s="465"/>
      <c r="AY77" s="463"/>
      <c r="AZ77" s="464"/>
      <c r="BA77" s="464"/>
      <c r="BB77" s="464"/>
      <c r="BC77" s="464"/>
      <c r="BD77" s="465"/>
      <c r="BE77" s="463"/>
      <c r="BF77" s="464"/>
      <c r="BG77" s="464"/>
      <c r="BH77" s="464"/>
      <c r="BI77" s="464"/>
      <c r="BJ77" s="466"/>
    </row>
    <row r="78" spans="1:62" s="467" customFormat="1" ht="16.5" hidden="1" customHeight="1">
      <c r="A78" s="572"/>
      <c r="E78" s="454" t="s">
        <v>1185</v>
      </c>
      <c r="F78" s="455"/>
      <c r="G78" s="456"/>
      <c r="H78" s="457"/>
      <c r="I78" s="458" t="s">
        <v>1209</v>
      </c>
      <c r="J78" s="566"/>
      <c r="K78" s="566" t="s">
        <v>1204</v>
      </c>
      <c r="L78" s="460" t="s">
        <v>1191</v>
      </c>
      <c r="M78" s="463">
        <f t="shared" si="13"/>
        <v>0</v>
      </c>
      <c r="N78" s="463">
        <f t="shared" si="13"/>
        <v>0</v>
      </c>
      <c r="O78" s="463">
        <f t="shared" si="13"/>
        <v>0</v>
      </c>
      <c r="P78" s="463">
        <f t="shared" si="13"/>
        <v>0</v>
      </c>
      <c r="Q78" s="463">
        <f t="shared" si="13"/>
        <v>0</v>
      </c>
      <c r="R78" s="463">
        <f t="shared" si="13"/>
        <v>0</v>
      </c>
      <c r="S78" s="463">
        <f t="shared" si="13"/>
        <v>0</v>
      </c>
      <c r="T78" s="463">
        <f t="shared" si="13"/>
        <v>0</v>
      </c>
      <c r="U78" s="463">
        <f t="shared" si="13"/>
        <v>0</v>
      </c>
      <c r="V78" s="463">
        <f t="shared" si="13"/>
        <v>0</v>
      </c>
      <c r="W78" s="463">
        <f t="shared" si="13"/>
        <v>0</v>
      </c>
      <c r="X78" s="463">
        <f t="shared" si="14"/>
        <v>0</v>
      </c>
      <c r="Y78" s="463">
        <f t="shared" si="14"/>
        <v>0</v>
      </c>
      <c r="Z78" s="463">
        <f t="shared" si="14"/>
        <v>0</v>
      </c>
      <c r="AA78" s="463">
        <f t="shared" si="14"/>
        <v>0</v>
      </c>
      <c r="AB78" s="463">
        <f t="shared" si="14"/>
        <v>1</v>
      </c>
      <c r="AC78" s="463">
        <f t="shared" si="14"/>
        <v>0</v>
      </c>
      <c r="AD78" s="463">
        <f t="shared" si="14"/>
        <v>0</v>
      </c>
      <c r="AE78" s="463">
        <f t="shared" si="14"/>
        <v>0</v>
      </c>
      <c r="AF78" s="621">
        <f t="shared" si="14"/>
        <v>0</v>
      </c>
      <c r="AG78" s="573"/>
      <c r="AH78" s="464"/>
      <c r="AI78" s="464"/>
      <c r="AJ78" s="464"/>
      <c r="AK78" s="464"/>
      <c r="AL78" s="465"/>
      <c r="AM78" s="463"/>
      <c r="AN78" s="464"/>
      <c r="AO78" s="464"/>
      <c r="AP78" s="464"/>
      <c r="AQ78" s="464"/>
      <c r="AR78" s="465"/>
      <c r="AS78" s="463"/>
      <c r="AT78" s="464"/>
      <c r="AU78" s="464"/>
      <c r="AV78" s="464"/>
      <c r="AW78" s="464"/>
      <c r="AX78" s="465"/>
      <c r="AY78" s="463"/>
      <c r="AZ78" s="464"/>
      <c r="BA78" s="464"/>
      <c r="BB78" s="464"/>
      <c r="BC78" s="464"/>
      <c r="BD78" s="465"/>
      <c r="BE78" s="463"/>
      <c r="BF78" s="464"/>
      <c r="BG78" s="464"/>
      <c r="BH78" s="464"/>
      <c r="BI78" s="464"/>
      <c r="BJ78" s="466"/>
    </row>
    <row r="79" spans="1:62" s="467" customFormat="1" ht="16.5" hidden="1" customHeight="1">
      <c r="A79" s="572"/>
      <c r="E79" s="454" t="s">
        <v>1185</v>
      </c>
      <c r="F79" s="455"/>
      <c r="G79" s="456"/>
      <c r="H79" s="457"/>
      <c r="I79" s="458" t="s">
        <v>1208</v>
      </c>
      <c r="J79" s="566"/>
      <c r="K79" s="566" t="s">
        <v>1203</v>
      </c>
      <c r="L79" s="460" t="s">
        <v>1191</v>
      </c>
      <c r="M79" s="463">
        <f t="shared" si="13"/>
        <v>0</v>
      </c>
      <c r="N79" s="463">
        <f t="shared" si="13"/>
        <v>0</v>
      </c>
      <c r="O79" s="463">
        <f t="shared" si="13"/>
        <v>0</v>
      </c>
      <c r="P79" s="463">
        <f t="shared" si="13"/>
        <v>0</v>
      </c>
      <c r="Q79" s="463">
        <f t="shared" si="13"/>
        <v>0</v>
      </c>
      <c r="R79" s="463">
        <f t="shared" si="13"/>
        <v>0</v>
      </c>
      <c r="S79" s="463">
        <f t="shared" si="13"/>
        <v>0</v>
      </c>
      <c r="T79" s="463">
        <f t="shared" si="13"/>
        <v>0</v>
      </c>
      <c r="U79" s="463">
        <f t="shared" si="13"/>
        <v>0</v>
      </c>
      <c r="V79" s="463">
        <f t="shared" si="13"/>
        <v>0</v>
      </c>
      <c r="W79" s="463">
        <f t="shared" si="13"/>
        <v>0</v>
      </c>
      <c r="X79" s="463">
        <f t="shared" si="14"/>
        <v>0</v>
      </c>
      <c r="Y79" s="463">
        <f t="shared" si="14"/>
        <v>0</v>
      </c>
      <c r="Z79" s="463">
        <f t="shared" si="14"/>
        <v>0</v>
      </c>
      <c r="AA79" s="463">
        <f t="shared" si="14"/>
        <v>1</v>
      </c>
      <c r="AB79" s="463">
        <f t="shared" si="14"/>
        <v>0</v>
      </c>
      <c r="AC79" s="463">
        <f t="shared" si="14"/>
        <v>0</v>
      </c>
      <c r="AD79" s="463">
        <f t="shared" si="14"/>
        <v>0</v>
      </c>
      <c r="AE79" s="463">
        <f t="shared" si="14"/>
        <v>0</v>
      </c>
      <c r="AF79" s="621">
        <f t="shared" si="14"/>
        <v>0</v>
      </c>
      <c r="AG79" s="573"/>
      <c r="AH79" s="464"/>
      <c r="AI79" s="464"/>
      <c r="AJ79" s="464"/>
      <c r="AK79" s="464"/>
      <c r="AL79" s="465"/>
      <c r="AM79" s="463"/>
      <c r="AN79" s="464"/>
      <c r="AO79" s="464"/>
      <c r="AP79" s="464"/>
      <c r="AQ79" s="464"/>
      <c r="AR79" s="465"/>
      <c r="AS79" s="463"/>
      <c r="AT79" s="464"/>
      <c r="AU79" s="464"/>
      <c r="AV79" s="464"/>
      <c r="AW79" s="464"/>
      <c r="AX79" s="465"/>
      <c r="AY79" s="463"/>
      <c r="AZ79" s="464"/>
      <c r="BA79" s="464"/>
      <c r="BB79" s="464"/>
      <c r="BC79" s="464"/>
      <c r="BD79" s="465"/>
      <c r="BE79" s="463"/>
      <c r="BF79" s="464"/>
      <c r="BG79" s="464"/>
      <c r="BH79" s="464"/>
      <c r="BI79" s="464"/>
      <c r="BJ79" s="466"/>
    </row>
    <row r="80" spans="1:62" s="467" customFormat="1" ht="16.5" hidden="1" customHeight="1">
      <c r="A80" s="572"/>
      <c r="E80" s="454" t="s">
        <v>1185</v>
      </c>
      <c r="F80" s="455"/>
      <c r="G80" s="456"/>
      <c r="H80" s="457"/>
      <c r="I80" s="458" t="s">
        <v>1209</v>
      </c>
      <c r="J80" s="566"/>
      <c r="K80" s="566" t="s">
        <v>1204</v>
      </c>
      <c r="L80" s="460" t="s">
        <v>1191</v>
      </c>
      <c r="M80" s="463">
        <f t="shared" si="13"/>
        <v>0</v>
      </c>
      <c r="N80" s="463">
        <f t="shared" si="13"/>
        <v>0</v>
      </c>
      <c r="O80" s="463">
        <f t="shared" si="13"/>
        <v>0</v>
      </c>
      <c r="P80" s="463">
        <f t="shared" si="13"/>
        <v>0</v>
      </c>
      <c r="Q80" s="463">
        <f t="shared" si="13"/>
        <v>0</v>
      </c>
      <c r="R80" s="463">
        <f t="shared" si="13"/>
        <v>0</v>
      </c>
      <c r="S80" s="463">
        <f t="shared" si="13"/>
        <v>0</v>
      </c>
      <c r="T80" s="463">
        <f t="shared" si="13"/>
        <v>0</v>
      </c>
      <c r="U80" s="463">
        <f t="shared" si="13"/>
        <v>0</v>
      </c>
      <c r="V80" s="463">
        <f t="shared" si="13"/>
        <v>0</v>
      </c>
      <c r="W80" s="463">
        <f t="shared" si="13"/>
        <v>0</v>
      </c>
      <c r="X80" s="463">
        <f t="shared" si="14"/>
        <v>0</v>
      </c>
      <c r="Y80" s="463">
        <f t="shared" si="14"/>
        <v>0</v>
      </c>
      <c r="Z80" s="463">
        <f t="shared" si="14"/>
        <v>0</v>
      </c>
      <c r="AA80" s="463">
        <f t="shared" si="14"/>
        <v>0</v>
      </c>
      <c r="AB80" s="463">
        <f t="shared" si="14"/>
        <v>1</v>
      </c>
      <c r="AC80" s="463">
        <f t="shared" si="14"/>
        <v>0</v>
      </c>
      <c r="AD80" s="463">
        <f t="shared" si="14"/>
        <v>0</v>
      </c>
      <c r="AE80" s="463">
        <f t="shared" si="14"/>
        <v>0</v>
      </c>
      <c r="AF80" s="621">
        <f t="shared" si="14"/>
        <v>0</v>
      </c>
      <c r="AG80" s="573"/>
      <c r="AH80" s="464"/>
      <c r="AI80" s="464"/>
      <c r="AJ80" s="464"/>
      <c r="AK80" s="464"/>
      <c r="AL80" s="465"/>
      <c r="AM80" s="463"/>
      <c r="AN80" s="464"/>
      <c r="AO80" s="464"/>
      <c r="AP80" s="464"/>
      <c r="AQ80" s="464"/>
      <c r="AR80" s="465"/>
      <c r="AS80" s="463"/>
      <c r="AT80" s="464"/>
      <c r="AU80" s="464"/>
      <c r="AV80" s="464"/>
      <c r="AW80" s="464"/>
      <c r="AX80" s="465"/>
      <c r="AY80" s="463"/>
      <c r="AZ80" s="464"/>
      <c r="BA80" s="464"/>
      <c r="BB80" s="464"/>
      <c r="BC80" s="464"/>
      <c r="BD80" s="465"/>
      <c r="BE80" s="463"/>
      <c r="BF80" s="464"/>
      <c r="BG80" s="464"/>
      <c r="BH80" s="464"/>
      <c r="BI80" s="464"/>
      <c r="BJ80" s="466"/>
    </row>
    <row r="81" spans="1:62" s="467" customFormat="1" ht="16.5" hidden="1" customHeight="1">
      <c r="A81" s="572"/>
      <c r="E81" s="454" t="s">
        <v>1185</v>
      </c>
      <c r="F81" s="455"/>
      <c r="G81" s="456"/>
      <c r="H81" s="457"/>
      <c r="I81" s="458" t="s">
        <v>1208</v>
      </c>
      <c r="J81" s="566"/>
      <c r="K81" s="566" t="s">
        <v>1203</v>
      </c>
      <c r="L81" s="460" t="s">
        <v>1191</v>
      </c>
      <c r="M81" s="463">
        <f t="shared" si="13"/>
        <v>0</v>
      </c>
      <c r="N81" s="463">
        <f t="shared" si="13"/>
        <v>0</v>
      </c>
      <c r="O81" s="463">
        <f t="shared" si="13"/>
        <v>0</v>
      </c>
      <c r="P81" s="463">
        <f t="shared" si="13"/>
        <v>0</v>
      </c>
      <c r="Q81" s="463">
        <f t="shared" si="13"/>
        <v>0</v>
      </c>
      <c r="R81" s="463">
        <f t="shared" si="13"/>
        <v>0</v>
      </c>
      <c r="S81" s="463">
        <f t="shared" si="13"/>
        <v>0</v>
      </c>
      <c r="T81" s="463">
        <f t="shared" si="13"/>
        <v>0</v>
      </c>
      <c r="U81" s="463">
        <f t="shared" si="13"/>
        <v>0</v>
      </c>
      <c r="V81" s="463">
        <f t="shared" si="13"/>
        <v>0</v>
      </c>
      <c r="W81" s="463">
        <f t="shared" si="13"/>
        <v>0</v>
      </c>
      <c r="X81" s="463">
        <f t="shared" si="14"/>
        <v>0</v>
      </c>
      <c r="Y81" s="463">
        <f t="shared" si="14"/>
        <v>0</v>
      </c>
      <c r="Z81" s="463">
        <f t="shared" si="14"/>
        <v>0</v>
      </c>
      <c r="AA81" s="463">
        <f t="shared" si="14"/>
        <v>1</v>
      </c>
      <c r="AB81" s="463">
        <f t="shared" si="14"/>
        <v>0</v>
      </c>
      <c r="AC81" s="463">
        <f t="shared" si="14"/>
        <v>0</v>
      </c>
      <c r="AD81" s="463">
        <f t="shared" si="14"/>
        <v>0</v>
      </c>
      <c r="AE81" s="463">
        <f t="shared" si="14"/>
        <v>0</v>
      </c>
      <c r="AF81" s="621">
        <f t="shared" si="14"/>
        <v>0</v>
      </c>
      <c r="AG81" s="573"/>
      <c r="AH81" s="464"/>
      <c r="AI81" s="464"/>
      <c r="AJ81" s="464"/>
      <c r="AK81" s="464"/>
      <c r="AL81" s="465"/>
      <c r="AM81" s="463"/>
      <c r="AN81" s="464"/>
      <c r="AO81" s="464"/>
      <c r="AP81" s="464"/>
      <c r="AQ81" s="464"/>
      <c r="AR81" s="465"/>
      <c r="AS81" s="463"/>
      <c r="AT81" s="464"/>
      <c r="AU81" s="464"/>
      <c r="AV81" s="464"/>
      <c r="AW81" s="464"/>
      <c r="AX81" s="465"/>
      <c r="AY81" s="463"/>
      <c r="AZ81" s="464"/>
      <c r="BA81" s="464"/>
      <c r="BB81" s="464"/>
      <c r="BC81" s="464"/>
      <c r="BD81" s="465"/>
      <c r="BE81" s="463"/>
      <c r="BF81" s="464"/>
      <c r="BG81" s="464"/>
      <c r="BH81" s="464"/>
      <c r="BI81" s="464"/>
      <c r="BJ81" s="466"/>
    </row>
    <row r="82" spans="1:62" s="467" customFormat="1" ht="16.5" hidden="1" customHeight="1">
      <c r="A82" s="572"/>
      <c r="E82" s="454" t="s">
        <v>1185</v>
      </c>
      <c r="F82" s="455"/>
      <c r="G82" s="456"/>
      <c r="H82" s="457"/>
      <c r="I82" s="458" t="s">
        <v>1209</v>
      </c>
      <c r="J82" s="566"/>
      <c r="K82" s="566" t="s">
        <v>1204</v>
      </c>
      <c r="L82" s="460" t="s">
        <v>1191</v>
      </c>
      <c r="M82" s="463">
        <f t="shared" si="13"/>
        <v>0</v>
      </c>
      <c r="N82" s="463">
        <f t="shared" si="13"/>
        <v>0</v>
      </c>
      <c r="O82" s="463">
        <f t="shared" si="13"/>
        <v>0</v>
      </c>
      <c r="P82" s="463">
        <f t="shared" si="13"/>
        <v>0</v>
      </c>
      <c r="Q82" s="463">
        <f t="shared" si="13"/>
        <v>0</v>
      </c>
      <c r="R82" s="463">
        <f t="shared" si="13"/>
        <v>0</v>
      </c>
      <c r="S82" s="463">
        <f t="shared" si="13"/>
        <v>0</v>
      </c>
      <c r="T82" s="463">
        <f t="shared" si="13"/>
        <v>0</v>
      </c>
      <c r="U82" s="463">
        <f t="shared" si="13"/>
        <v>0</v>
      </c>
      <c r="V82" s="463">
        <f t="shared" si="13"/>
        <v>0</v>
      </c>
      <c r="W82" s="463">
        <f t="shared" si="13"/>
        <v>0</v>
      </c>
      <c r="X82" s="463">
        <f t="shared" si="14"/>
        <v>0</v>
      </c>
      <c r="Y82" s="463">
        <f t="shared" si="14"/>
        <v>0</v>
      </c>
      <c r="Z82" s="463">
        <f t="shared" si="14"/>
        <v>0</v>
      </c>
      <c r="AA82" s="463">
        <f t="shared" si="14"/>
        <v>0</v>
      </c>
      <c r="AB82" s="463">
        <f t="shared" si="14"/>
        <v>1</v>
      </c>
      <c r="AC82" s="463">
        <f t="shared" si="14"/>
        <v>0</v>
      </c>
      <c r="AD82" s="463">
        <f t="shared" si="14"/>
        <v>0</v>
      </c>
      <c r="AE82" s="463">
        <f t="shared" si="14"/>
        <v>0</v>
      </c>
      <c r="AF82" s="621">
        <f t="shared" si="14"/>
        <v>0</v>
      </c>
      <c r="AG82" s="573"/>
      <c r="AH82" s="464"/>
      <c r="AI82" s="464"/>
      <c r="AJ82" s="464"/>
      <c r="AK82" s="464"/>
      <c r="AL82" s="465"/>
      <c r="AM82" s="463"/>
      <c r="AN82" s="464"/>
      <c r="AO82" s="464"/>
      <c r="AP82" s="464"/>
      <c r="AQ82" s="464"/>
      <c r="AR82" s="465"/>
      <c r="AS82" s="463"/>
      <c r="AT82" s="464"/>
      <c r="AU82" s="464"/>
      <c r="AV82" s="464"/>
      <c r="AW82" s="464"/>
      <c r="AX82" s="465"/>
      <c r="AY82" s="463"/>
      <c r="AZ82" s="464"/>
      <c r="BA82" s="464"/>
      <c r="BB82" s="464"/>
      <c r="BC82" s="464"/>
      <c r="BD82" s="465"/>
      <c r="BE82" s="463"/>
      <c r="BF82" s="464"/>
      <c r="BG82" s="464"/>
      <c r="BH82" s="464"/>
      <c r="BI82" s="464"/>
      <c r="BJ82" s="466"/>
    </row>
    <row r="83" spans="1:62" s="467" customFormat="1" ht="16.5" hidden="1" customHeight="1">
      <c r="A83" s="572"/>
      <c r="E83" s="454" t="s">
        <v>1185</v>
      </c>
      <c r="F83" s="455"/>
      <c r="G83" s="456"/>
      <c r="H83" s="457"/>
      <c r="I83" s="458" t="s">
        <v>1209</v>
      </c>
      <c r="J83" s="566"/>
      <c r="K83" s="566" t="s">
        <v>1204</v>
      </c>
      <c r="L83" s="460" t="s">
        <v>1191</v>
      </c>
      <c r="M83" s="463">
        <f t="shared" si="13"/>
        <v>0</v>
      </c>
      <c r="N83" s="463">
        <f t="shared" si="13"/>
        <v>0</v>
      </c>
      <c r="O83" s="463">
        <f t="shared" si="13"/>
        <v>0</v>
      </c>
      <c r="P83" s="463">
        <f t="shared" si="13"/>
        <v>0</v>
      </c>
      <c r="Q83" s="463">
        <f t="shared" si="13"/>
        <v>0</v>
      </c>
      <c r="R83" s="463">
        <f t="shared" si="13"/>
        <v>0</v>
      </c>
      <c r="S83" s="463">
        <f t="shared" si="13"/>
        <v>0</v>
      </c>
      <c r="T83" s="463">
        <f t="shared" si="13"/>
        <v>0</v>
      </c>
      <c r="U83" s="463">
        <f t="shared" si="13"/>
        <v>0</v>
      </c>
      <c r="V83" s="463">
        <f t="shared" si="13"/>
        <v>0</v>
      </c>
      <c r="W83" s="463">
        <f t="shared" si="13"/>
        <v>0</v>
      </c>
      <c r="X83" s="463">
        <f t="shared" si="14"/>
        <v>0</v>
      </c>
      <c r="Y83" s="463">
        <f t="shared" si="14"/>
        <v>0</v>
      </c>
      <c r="Z83" s="463">
        <f t="shared" si="14"/>
        <v>0</v>
      </c>
      <c r="AA83" s="463">
        <f t="shared" si="14"/>
        <v>0</v>
      </c>
      <c r="AB83" s="463">
        <f t="shared" si="14"/>
        <v>1</v>
      </c>
      <c r="AC83" s="463">
        <f t="shared" si="14"/>
        <v>0</v>
      </c>
      <c r="AD83" s="463">
        <f t="shared" si="14"/>
        <v>0</v>
      </c>
      <c r="AE83" s="463">
        <f t="shared" si="14"/>
        <v>0</v>
      </c>
      <c r="AF83" s="621">
        <f t="shared" si="14"/>
        <v>0</v>
      </c>
      <c r="AG83" s="573"/>
      <c r="AH83" s="464"/>
      <c r="AI83" s="464"/>
      <c r="AJ83" s="464"/>
      <c r="AK83" s="464"/>
      <c r="AL83" s="465"/>
      <c r="AM83" s="463"/>
      <c r="AN83" s="464"/>
      <c r="AO83" s="464"/>
      <c r="AP83" s="464"/>
      <c r="AQ83" s="464"/>
      <c r="AR83" s="465"/>
      <c r="AS83" s="463"/>
      <c r="AT83" s="464"/>
      <c r="AU83" s="464"/>
      <c r="AV83" s="464"/>
      <c r="AW83" s="464"/>
      <c r="AX83" s="465"/>
      <c r="AY83" s="463"/>
      <c r="AZ83" s="464"/>
      <c r="BA83" s="464"/>
      <c r="BB83" s="464"/>
      <c r="BC83" s="464"/>
      <c r="BD83" s="465"/>
      <c r="BE83" s="463"/>
      <c r="BF83" s="464"/>
      <c r="BG83" s="464"/>
      <c r="BH83" s="464"/>
      <c r="BI83" s="464"/>
      <c r="BJ83" s="466"/>
    </row>
    <row r="84" spans="1:62" s="467" customFormat="1" ht="16.5" hidden="1" customHeight="1">
      <c r="A84" s="572"/>
      <c r="E84" s="454" t="s">
        <v>1185</v>
      </c>
      <c r="F84" s="455"/>
      <c r="G84" s="456"/>
      <c r="H84" s="457"/>
      <c r="I84" s="458" t="s">
        <v>1208</v>
      </c>
      <c r="J84" s="566"/>
      <c r="K84" s="566" t="s">
        <v>1203</v>
      </c>
      <c r="L84" s="460" t="s">
        <v>1191</v>
      </c>
      <c r="M84" s="463">
        <f t="shared" si="13"/>
        <v>0</v>
      </c>
      <c r="N84" s="463">
        <f t="shared" si="13"/>
        <v>0</v>
      </c>
      <c r="O84" s="463">
        <f t="shared" si="13"/>
        <v>0</v>
      </c>
      <c r="P84" s="463">
        <f t="shared" si="13"/>
        <v>0</v>
      </c>
      <c r="Q84" s="463">
        <f t="shared" si="13"/>
        <v>0</v>
      </c>
      <c r="R84" s="463">
        <f t="shared" si="13"/>
        <v>0</v>
      </c>
      <c r="S84" s="463">
        <f t="shared" si="13"/>
        <v>0</v>
      </c>
      <c r="T84" s="463">
        <f t="shared" si="13"/>
        <v>0</v>
      </c>
      <c r="U84" s="463">
        <f t="shared" si="13"/>
        <v>0</v>
      </c>
      <c r="V84" s="463">
        <f t="shared" si="13"/>
        <v>0</v>
      </c>
      <c r="W84" s="463">
        <f t="shared" si="13"/>
        <v>0</v>
      </c>
      <c r="X84" s="463">
        <f t="shared" si="14"/>
        <v>0</v>
      </c>
      <c r="Y84" s="463">
        <f t="shared" si="14"/>
        <v>0</v>
      </c>
      <c r="Z84" s="463">
        <f t="shared" si="14"/>
        <v>0</v>
      </c>
      <c r="AA84" s="463">
        <f t="shared" si="14"/>
        <v>1</v>
      </c>
      <c r="AB84" s="463">
        <f t="shared" si="14"/>
        <v>0</v>
      </c>
      <c r="AC84" s="463">
        <f t="shared" si="14"/>
        <v>0</v>
      </c>
      <c r="AD84" s="463">
        <f t="shared" si="14"/>
        <v>0</v>
      </c>
      <c r="AE84" s="463">
        <f t="shared" si="14"/>
        <v>0</v>
      </c>
      <c r="AF84" s="621">
        <f t="shared" si="14"/>
        <v>0</v>
      </c>
      <c r="AG84" s="573"/>
      <c r="AH84" s="464"/>
      <c r="AI84" s="464"/>
      <c r="AJ84" s="464"/>
      <c r="AK84" s="464"/>
      <c r="AL84" s="465"/>
      <c r="AM84" s="463"/>
      <c r="AN84" s="464"/>
      <c r="AO84" s="464"/>
      <c r="AP84" s="464"/>
      <c r="AQ84" s="464"/>
      <c r="AR84" s="465"/>
      <c r="AS84" s="463"/>
      <c r="AT84" s="464"/>
      <c r="AU84" s="464"/>
      <c r="AV84" s="464"/>
      <c r="AW84" s="464"/>
      <c r="AX84" s="465"/>
      <c r="AY84" s="463"/>
      <c r="AZ84" s="464"/>
      <c r="BA84" s="464"/>
      <c r="BB84" s="464"/>
      <c r="BC84" s="464"/>
      <c r="BD84" s="465"/>
      <c r="BE84" s="463"/>
      <c r="BF84" s="464"/>
      <c r="BG84" s="464"/>
      <c r="BH84" s="464"/>
      <c r="BI84" s="464"/>
      <c r="BJ84" s="466"/>
    </row>
    <row r="85" spans="1:62" s="467" customFormat="1" ht="16.5" hidden="1" customHeight="1">
      <c r="A85" s="572"/>
      <c r="E85" s="454" t="s">
        <v>1185</v>
      </c>
      <c r="F85" s="455"/>
      <c r="G85" s="456"/>
      <c r="H85" s="457"/>
      <c r="I85" s="458" t="s">
        <v>1208</v>
      </c>
      <c r="J85" s="566"/>
      <c r="K85" s="566" t="s">
        <v>1203</v>
      </c>
      <c r="L85" s="460" t="s">
        <v>1191</v>
      </c>
      <c r="M85" s="463">
        <f t="shared" si="13"/>
        <v>0</v>
      </c>
      <c r="N85" s="463">
        <f t="shared" si="13"/>
        <v>0</v>
      </c>
      <c r="O85" s="463">
        <f t="shared" si="13"/>
        <v>0</v>
      </c>
      <c r="P85" s="463">
        <f t="shared" si="13"/>
        <v>0</v>
      </c>
      <c r="Q85" s="463">
        <f t="shared" si="13"/>
        <v>0</v>
      </c>
      <c r="R85" s="463">
        <f t="shared" si="13"/>
        <v>0</v>
      </c>
      <c r="S85" s="463">
        <f t="shared" si="13"/>
        <v>0</v>
      </c>
      <c r="T85" s="463">
        <f t="shared" si="13"/>
        <v>0</v>
      </c>
      <c r="U85" s="463">
        <f t="shared" si="13"/>
        <v>0</v>
      </c>
      <c r="V85" s="463">
        <f t="shared" si="13"/>
        <v>0</v>
      </c>
      <c r="W85" s="463">
        <f t="shared" si="13"/>
        <v>0</v>
      </c>
      <c r="X85" s="463">
        <f t="shared" si="14"/>
        <v>0</v>
      </c>
      <c r="Y85" s="463">
        <f t="shared" si="14"/>
        <v>0</v>
      </c>
      <c r="Z85" s="463">
        <f t="shared" si="14"/>
        <v>0</v>
      </c>
      <c r="AA85" s="463">
        <f t="shared" si="14"/>
        <v>1</v>
      </c>
      <c r="AB85" s="463">
        <f t="shared" si="14"/>
        <v>0</v>
      </c>
      <c r="AC85" s="463">
        <f t="shared" si="14"/>
        <v>0</v>
      </c>
      <c r="AD85" s="463">
        <f t="shared" si="14"/>
        <v>0</v>
      </c>
      <c r="AE85" s="463">
        <f t="shared" si="14"/>
        <v>0</v>
      </c>
      <c r="AF85" s="621">
        <f t="shared" si="14"/>
        <v>0</v>
      </c>
      <c r="AG85" s="573"/>
      <c r="AH85" s="464"/>
      <c r="AI85" s="464"/>
      <c r="AJ85" s="464"/>
      <c r="AK85" s="464"/>
      <c r="AL85" s="465"/>
      <c r="AM85" s="463"/>
      <c r="AN85" s="464"/>
      <c r="AO85" s="464"/>
      <c r="AP85" s="464"/>
      <c r="AQ85" s="464"/>
      <c r="AR85" s="465"/>
      <c r="AS85" s="463"/>
      <c r="AT85" s="464"/>
      <c r="AU85" s="464"/>
      <c r="AV85" s="464"/>
      <c r="AW85" s="464"/>
      <c r="AX85" s="465"/>
      <c r="AY85" s="463"/>
      <c r="AZ85" s="464"/>
      <c r="BA85" s="464"/>
      <c r="BB85" s="464"/>
      <c r="BC85" s="464"/>
      <c r="BD85" s="465"/>
      <c r="BE85" s="463"/>
      <c r="BF85" s="464"/>
      <c r="BG85" s="464"/>
      <c r="BH85" s="464"/>
      <c r="BI85" s="464"/>
      <c r="BJ85" s="466"/>
    </row>
    <row r="86" spans="1:62" s="467" customFormat="1" ht="16.5" hidden="1" customHeight="1">
      <c r="A86" s="572"/>
      <c r="E86" s="454" t="s">
        <v>1185</v>
      </c>
      <c r="F86" s="455"/>
      <c r="G86" s="456"/>
      <c r="H86" s="457"/>
      <c r="I86" s="458" t="s">
        <v>1208</v>
      </c>
      <c r="J86" s="566"/>
      <c r="K86" s="566" t="s">
        <v>1203</v>
      </c>
      <c r="L86" s="460" t="s">
        <v>1191</v>
      </c>
      <c r="M86" s="463">
        <f t="shared" si="13"/>
        <v>0</v>
      </c>
      <c r="N86" s="463">
        <f t="shared" si="13"/>
        <v>0</v>
      </c>
      <c r="O86" s="463">
        <f t="shared" si="13"/>
        <v>0</v>
      </c>
      <c r="P86" s="463">
        <f t="shared" si="13"/>
        <v>0</v>
      </c>
      <c r="Q86" s="463">
        <f t="shared" si="13"/>
        <v>0</v>
      </c>
      <c r="R86" s="463">
        <f t="shared" si="13"/>
        <v>0</v>
      </c>
      <c r="S86" s="463">
        <f t="shared" si="13"/>
        <v>0</v>
      </c>
      <c r="T86" s="463">
        <f t="shared" si="13"/>
        <v>0</v>
      </c>
      <c r="U86" s="463">
        <f t="shared" si="13"/>
        <v>0</v>
      </c>
      <c r="V86" s="463">
        <f t="shared" si="13"/>
        <v>0</v>
      </c>
      <c r="W86" s="463">
        <f t="shared" si="13"/>
        <v>0</v>
      </c>
      <c r="X86" s="463">
        <f t="shared" si="14"/>
        <v>0</v>
      </c>
      <c r="Y86" s="463">
        <f t="shared" si="14"/>
        <v>0</v>
      </c>
      <c r="Z86" s="463">
        <f t="shared" si="14"/>
        <v>0</v>
      </c>
      <c r="AA86" s="463">
        <f t="shared" si="14"/>
        <v>1</v>
      </c>
      <c r="AB86" s="463">
        <f t="shared" si="14"/>
        <v>0</v>
      </c>
      <c r="AC86" s="463">
        <f t="shared" si="14"/>
        <v>0</v>
      </c>
      <c r="AD86" s="463">
        <f t="shared" si="14"/>
        <v>0</v>
      </c>
      <c r="AE86" s="463">
        <f t="shared" si="14"/>
        <v>0</v>
      </c>
      <c r="AF86" s="621">
        <f t="shared" si="14"/>
        <v>0</v>
      </c>
      <c r="AG86" s="573"/>
      <c r="AH86" s="464"/>
      <c r="AI86" s="464"/>
      <c r="AJ86" s="464"/>
      <c r="AK86" s="464"/>
      <c r="AL86" s="465"/>
      <c r="AM86" s="463"/>
      <c r="AN86" s="464"/>
      <c r="AO86" s="464"/>
      <c r="AP86" s="464"/>
      <c r="AQ86" s="464"/>
      <c r="AR86" s="465"/>
      <c r="AS86" s="463"/>
      <c r="AT86" s="464"/>
      <c r="AU86" s="464"/>
      <c r="AV86" s="464"/>
      <c r="AW86" s="464"/>
      <c r="AX86" s="465"/>
      <c r="AY86" s="463"/>
      <c r="AZ86" s="464"/>
      <c r="BA86" s="464"/>
      <c r="BB86" s="464"/>
      <c r="BC86" s="464"/>
      <c r="BD86" s="465"/>
      <c r="BE86" s="463"/>
      <c r="BF86" s="464"/>
      <c r="BG86" s="464"/>
      <c r="BH86" s="464"/>
      <c r="BI86" s="464"/>
      <c r="BJ86" s="466"/>
    </row>
    <row r="87" spans="1:62" s="467" customFormat="1" ht="16.5" hidden="1" customHeight="1">
      <c r="A87" s="572"/>
      <c r="E87" s="454" t="s">
        <v>1185</v>
      </c>
      <c r="F87" s="455"/>
      <c r="G87" s="456"/>
      <c r="H87" s="457"/>
      <c r="I87" s="458" t="s">
        <v>1208</v>
      </c>
      <c r="J87" s="566"/>
      <c r="K87" s="566" t="s">
        <v>1203</v>
      </c>
      <c r="L87" s="460" t="s">
        <v>1191</v>
      </c>
      <c r="M87" s="463">
        <f t="shared" si="13"/>
        <v>0</v>
      </c>
      <c r="N87" s="463">
        <f t="shared" si="13"/>
        <v>0</v>
      </c>
      <c r="O87" s="463">
        <f t="shared" si="13"/>
        <v>0</v>
      </c>
      <c r="P87" s="463">
        <f t="shared" si="13"/>
        <v>0</v>
      </c>
      <c r="Q87" s="463">
        <f t="shared" si="13"/>
        <v>0</v>
      </c>
      <c r="R87" s="463">
        <f t="shared" si="13"/>
        <v>0</v>
      </c>
      <c r="S87" s="463">
        <f t="shared" si="13"/>
        <v>0</v>
      </c>
      <c r="T87" s="463">
        <f t="shared" si="13"/>
        <v>0</v>
      </c>
      <c r="U87" s="463">
        <f t="shared" si="13"/>
        <v>0</v>
      </c>
      <c r="V87" s="463">
        <f t="shared" si="13"/>
        <v>0</v>
      </c>
      <c r="W87" s="463">
        <f t="shared" si="13"/>
        <v>0</v>
      </c>
      <c r="X87" s="463">
        <f t="shared" si="14"/>
        <v>0</v>
      </c>
      <c r="Y87" s="463">
        <f t="shared" si="14"/>
        <v>0</v>
      </c>
      <c r="Z87" s="463">
        <f t="shared" si="14"/>
        <v>0</v>
      </c>
      <c r="AA87" s="463">
        <f t="shared" si="14"/>
        <v>1</v>
      </c>
      <c r="AB87" s="463">
        <f t="shared" si="14"/>
        <v>0</v>
      </c>
      <c r="AC87" s="463">
        <f t="shared" si="14"/>
        <v>0</v>
      </c>
      <c r="AD87" s="463">
        <f t="shared" si="14"/>
        <v>0</v>
      </c>
      <c r="AE87" s="463">
        <f t="shared" si="14"/>
        <v>0</v>
      </c>
      <c r="AF87" s="621">
        <f t="shared" si="14"/>
        <v>0</v>
      </c>
      <c r="AG87" s="573"/>
      <c r="AH87" s="464"/>
      <c r="AI87" s="464"/>
      <c r="AJ87" s="464"/>
      <c r="AK87" s="464"/>
      <c r="AL87" s="465"/>
      <c r="AM87" s="463"/>
      <c r="AN87" s="464"/>
      <c r="AO87" s="464"/>
      <c r="AP87" s="464"/>
      <c r="AQ87" s="464"/>
      <c r="AR87" s="465"/>
      <c r="AS87" s="463"/>
      <c r="AT87" s="464"/>
      <c r="AU87" s="464"/>
      <c r="AV87" s="464"/>
      <c r="AW87" s="464"/>
      <c r="AX87" s="465"/>
      <c r="AY87" s="463"/>
      <c r="AZ87" s="464"/>
      <c r="BA87" s="464"/>
      <c r="BB87" s="464"/>
      <c r="BC87" s="464"/>
      <c r="BD87" s="465"/>
      <c r="BE87" s="463"/>
      <c r="BF87" s="464"/>
      <c r="BG87" s="464"/>
      <c r="BH87" s="464"/>
      <c r="BI87" s="464"/>
      <c r="BJ87" s="466"/>
    </row>
    <row r="88" spans="1:62" s="467" customFormat="1" ht="16.5" hidden="1" customHeight="1">
      <c r="A88" s="572"/>
      <c r="E88" s="454" t="s">
        <v>1185</v>
      </c>
      <c r="F88" s="455"/>
      <c r="G88" s="456"/>
      <c r="H88" s="457"/>
      <c r="I88" s="458" t="s">
        <v>1208</v>
      </c>
      <c r="J88" s="566"/>
      <c r="K88" s="566" t="s">
        <v>1203</v>
      </c>
      <c r="L88" s="460" t="s">
        <v>1191</v>
      </c>
      <c r="M88" s="463">
        <f t="shared" si="13"/>
        <v>0</v>
      </c>
      <c r="N88" s="463">
        <f t="shared" si="13"/>
        <v>0</v>
      </c>
      <c r="O88" s="463">
        <f t="shared" si="13"/>
        <v>0</v>
      </c>
      <c r="P88" s="463">
        <f t="shared" si="13"/>
        <v>0</v>
      </c>
      <c r="Q88" s="463">
        <f t="shared" si="13"/>
        <v>0</v>
      </c>
      <c r="R88" s="463">
        <f t="shared" si="13"/>
        <v>0</v>
      </c>
      <c r="S88" s="463">
        <f t="shared" si="13"/>
        <v>0</v>
      </c>
      <c r="T88" s="463">
        <f t="shared" si="13"/>
        <v>0</v>
      </c>
      <c r="U88" s="463">
        <f t="shared" si="13"/>
        <v>0</v>
      </c>
      <c r="V88" s="463">
        <f t="shared" si="13"/>
        <v>0</v>
      </c>
      <c r="W88" s="463">
        <f t="shared" si="13"/>
        <v>0</v>
      </c>
      <c r="X88" s="463">
        <f t="shared" si="14"/>
        <v>0</v>
      </c>
      <c r="Y88" s="463">
        <f t="shared" si="14"/>
        <v>0</v>
      </c>
      <c r="Z88" s="463">
        <f t="shared" si="14"/>
        <v>0</v>
      </c>
      <c r="AA88" s="463">
        <f t="shared" si="14"/>
        <v>1</v>
      </c>
      <c r="AB88" s="463">
        <f t="shared" si="14"/>
        <v>0</v>
      </c>
      <c r="AC88" s="463">
        <f t="shared" si="14"/>
        <v>0</v>
      </c>
      <c r="AD88" s="463">
        <f t="shared" si="14"/>
        <v>0</v>
      </c>
      <c r="AE88" s="463">
        <f t="shared" si="14"/>
        <v>0</v>
      </c>
      <c r="AF88" s="621">
        <f t="shared" si="14"/>
        <v>0</v>
      </c>
      <c r="AG88" s="573"/>
      <c r="AH88" s="464"/>
      <c r="AI88" s="464"/>
      <c r="AJ88" s="464"/>
      <c r="AK88" s="464"/>
      <c r="AL88" s="465"/>
      <c r="AM88" s="463"/>
      <c r="AN88" s="464"/>
      <c r="AO88" s="464"/>
      <c r="AP88" s="464"/>
      <c r="AQ88" s="464"/>
      <c r="AR88" s="465"/>
      <c r="AS88" s="463"/>
      <c r="AT88" s="464"/>
      <c r="AU88" s="464"/>
      <c r="AV88" s="464"/>
      <c r="AW88" s="464"/>
      <c r="AX88" s="465"/>
      <c r="AY88" s="463"/>
      <c r="AZ88" s="464"/>
      <c r="BA88" s="464"/>
      <c r="BB88" s="464"/>
      <c r="BC88" s="464"/>
      <c r="BD88" s="465"/>
      <c r="BE88" s="463"/>
      <c r="BF88" s="464"/>
      <c r="BG88" s="464"/>
      <c r="BH88" s="464"/>
      <c r="BI88" s="464"/>
      <c r="BJ88" s="466"/>
    </row>
    <row r="89" spans="1:62" s="467" customFormat="1" ht="16.5" hidden="1" customHeight="1">
      <c r="A89" s="572"/>
      <c r="E89" s="454" t="s">
        <v>1185</v>
      </c>
      <c r="F89" s="455"/>
      <c r="G89" s="456"/>
      <c r="H89" s="457"/>
      <c r="I89" s="458" t="s">
        <v>1208</v>
      </c>
      <c r="J89" s="566"/>
      <c r="K89" s="566" t="s">
        <v>1203</v>
      </c>
      <c r="L89" s="460" t="s">
        <v>1191</v>
      </c>
      <c r="M89" s="463">
        <f t="shared" si="13"/>
        <v>0</v>
      </c>
      <c r="N89" s="463">
        <f t="shared" si="13"/>
        <v>0</v>
      </c>
      <c r="O89" s="463">
        <f t="shared" si="13"/>
        <v>0</v>
      </c>
      <c r="P89" s="463">
        <f t="shared" si="13"/>
        <v>0</v>
      </c>
      <c r="Q89" s="463">
        <f t="shared" si="13"/>
        <v>0</v>
      </c>
      <c r="R89" s="463">
        <f t="shared" si="13"/>
        <v>0</v>
      </c>
      <c r="S89" s="463">
        <f t="shared" si="13"/>
        <v>0</v>
      </c>
      <c r="T89" s="463">
        <f t="shared" si="13"/>
        <v>0</v>
      </c>
      <c r="U89" s="463">
        <f t="shared" si="13"/>
        <v>0</v>
      </c>
      <c r="V89" s="463">
        <f t="shared" si="13"/>
        <v>0</v>
      </c>
      <c r="W89" s="463">
        <f t="shared" si="13"/>
        <v>0</v>
      </c>
      <c r="X89" s="463">
        <f t="shared" si="14"/>
        <v>0</v>
      </c>
      <c r="Y89" s="463">
        <f t="shared" si="14"/>
        <v>0</v>
      </c>
      <c r="Z89" s="463">
        <f t="shared" si="14"/>
        <v>0</v>
      </c>
      <c r="AA89" s="463">
        <f t="shared" si="14"/>
        <v>1</v>
      </c>
      <c r="AB89" s="463">
        <f t="shared" si="14"/>
        <v>0</v>
      </c>
      <c r="AC89" s="463">
        <f t="shared" si="14"/>
        <v>0</v>
      </c>
      <c r="AD89" s="463">
        <f t="shared" si="14"/>
        <v>0</v>
      </c>
      <c r="AE89" s="463">
        <f t="shared" si="14"/>
        <v>0</v>
      </c>
      <c r="AF89" s="621">
        <f t="shared" si="14"/>
        <v>0</v>
      </c>
      <c r="AG89" s="573"/>
      <c r="AH89" s="464"/>
      <c r="AI89" s="464"/>
      <c r="AJ89" s="464"/>
      <c r="AK89" s="464"/>
      <c r="AL89" s="465"/>
      <c r="AM89" s="463"/>
      <c r="AN89" s="464"/>
      <c r="AO89" s="464"/>
      <c r="AP89" s="464"/>
      <c r="AQ89" s="464"/>
      <c r="AR89" s="465"/>
      <c r="AS89" s="463"/>
      <c r="AT89" s="464"/>
      <c r="AU89" s="464"/>
      <c r="AV89" s="464"/>
      <c r="AW89" s="464"/>
      <c r="AX89" s="465"/>
      <c r="AY89" s="463"/>
      <c r="AZ89" s="464"/>
      <c r="BA89" s="464"/>
      <c r="BB89" s="464"/>
      <c r="BC89" s="464"/>
      <c r="BD89" s="465"/>
      <c r="BE89" s="463"/>
      <c r="BF89" s="464"/>
      <c r="BG89" s="464"/>
      <c r="BH89" s="464"/>
      <c r="BI89" s="464"/>
      <c r="BJ89" s="466"/>
    </row>
    <row r="90" spans="1:62" s="467" customFormat="1" ht="16.5" hidden="1" customHeight="1">
      <c r="A90" s="572"/>
      <c r="E90" s="454" t="s">
        <v>1185</v>
      </c>
      <c r="F90" s="455"/>
      <c r="G90" s="456"/>
      <c r="H90" s="457"/>
      <c r="I90" s="458" t="s">
        <v>1208</v>
      </c>
      <c r="J90" s="566"/>
      <c r="K90" s="566" t="s">
        <v>1203</v>
      </c>
      <c r="L90" s="460" t="s">
        <v>1191</v>
      </c>
      <c r="M90" s="463">
        <f t="shared" si="13"/>
        <v>0</v>
      </c>
      <c r="N90" s="463">
        <f t="shared" si="13"/>
        <v>0</v>
      </c>
      <c r="O90" s="463">
        <f t="shared" si="13"/>
        <v>0</v>
      </c>
      <c r="P90" s="463">
        <f t="shared" si="13"/>
        <v>0</v>
      </c>
      <c r="Q90" s="463">
        <f t="shared" si="13"/>
        <v>0</v>
      </c>
      <c r="R90" s="463">
        <f t="shared" si="13"/>
        <v>0</v>
      </c>
      <c r="S90" s="463">
        <f t="shared" si="13"/>
        <v>0</v>
      </c>
      <c r="T90" s="463">
        <f t="shared" si="13"/>
        <v>0</v>
      </c>
      <c r="U90" s="463">
        <f t="shared" si="13"/>
        <v>0</v>
      </c>
      <c r="V90" s="463">
        <f t="shared" si="13"/>
        <v>0</v>
      </c>
      <c r="W90" s="463">
        <f t="shared" si="13"/>
        <v>0</v>
      </c>
      <c r="X90" s="463">
        <f t="shared" si="14"/>
        <v>0</v>
      </c>
      <c r="Y90" s="463">
        <f t="shared" si="14"/>
        <v>0</v>
      </c>
      <c r="Z90" s="463">
        <f t="shared" si="14"/>
        <v>0</v>
      </c>
      <c r="AA90" s="463">
        <f t="shared" si="14"/>
        <v>1</v>
      </c>
      <c r="AB90" s="463">
        <f t="shared" si="14"/>
        <v>0</v>
      </c>
      <c r="AC90" s="463">
        <f t="shared" si="14"/>
        <v>0</v>
      </c>
      <c r="AD90" s="463">
        <f t="shared" si="14"/>
        <v>0</v>
      </c>
      <c r="AE90" s="463">
        <f t="shared" si="14"/>
        <v>0</v>
      </c>
      <c r="AF90" s="621">
        <f t="shared" si="14"/>
        <v>0</v>
      </c>
      <c r="AG90" s="573"/>
      <c r="AH90" s="464"/>
      <c r="AI90" s="464"/>
      <c r="AJ90" s="464"/>
      <c r="AK90" s="464"/>
      <c r="AL90" s="465"/>
      <c r="AM90" s="463"/>
      <c r="AN90" s="464"/>
      <c r="AO90" s="464"/>
      <c r="AP90" s="464"/>
      <c r="AQ90" s="464"/>
      <c r="AR90" s="465"/>
      <c r="AS90" s="463"/>
      <c r="AT90" s="464"/>
      <c r="AU90" s="464"/>
      <c r="AV90" s="464"/>
      <c r="AW90" s="464"/>
      <c r="AX90" s="465"/>
      <c r="AY90" s="463"/>
      <c r="AZ90" s="464"/>
      <c r="BA90" s="464"/>
      <c r="BB90" s="464"/>
      <c r="BC90" s="464"/>
      <c r="BD90" s="465"/>
      <c r="BE90" s="463"/>
      <c r="BF90" s="464"/>
      <c r="BG90" s="464"/>
      <c r="BH90" s="464"/>
      <c r="BI90" s="464"/>
      <c r="BJ90" s="466"/>
    </row>
    <row r="91" spans="1:62" s="467" customFormat="1" ht="16.5" hidden="1" customHeight="1">
      <c r="A91" s="572"/>
      <c r="E91" s="454" t="s">
        <v>1185</v>
      </c>
      <c r="F91" s="455"/>
      <c r="G91" s="456"/>
      <c r="H91" s="457"/>
      <c r="I91" s="458" t="s">
        <v>1209</v>
      </c>
      <c r="J91" s="566"/>
      <c r="K91" s="566" t="s">
        <v>1204</v>
      </c>
      <c r="L91" s="460" t="s">
        <v>1191</v>
      </c>
      <c r="M91" s="463">
        <f t="shared" si="13"/>
        <v>0</v>
      </c>
      <c r="N91" s="463">
        <f t="shared" si="13"/>
        <v>0</v>
      </c>
      <c r="O91" s="463">
        <f t="shared" si="13"/>
        <v>0</v>
      </c>
      <c r="P91" s="463">
        <f t="shared" si="13"/>
        <v>0</v>
      </c>
      <c r="Q91" s="463">
        <f t="shared" si="13"/>
        <v>0</v>
      </c>
      <c r="R91" s="463">
        <f t="shared" si="13"/>
        <v>0</v>
      </c>
      <c r="S91" s="463">
        <f t="shared" si="13"/>
        <v>0</v>
      </c>
      <c r="T91" s="463">
        <f t="shared" si="13"/>
        <v>0</v>
      </c>
      <c r="U91" s="463">
        <f t="shared" si="13"/>
        <v>0</v>
      </c>
      <c r="V91" s="463">
        <f t="shared" si="13"/>
        <v>0</v>
      </c>
      <c r="W91" s="463">
        <f t="shared" si="13"/>
        <v>0</v>
      </c>
      <c r="X91" s="463">
        <f t="shared" si="14"/>
        <v>0</v>
      </c>
      <c r="Y91" s="463">
        <f t="shared" si="14"/>
        <v>0</v>
      </c>
      <c r="Z91" s="463">
        <f t="shared" si="14"/>
        <v>0</v>
      </c>
      <c r="AA91" s="463">
        <f t="shared" si="14"/>
        <v>0</v>
      </c>
      <c r="AB91" s="463">
        <f t="shared" si="14"/>
        <v>1</v>
      </c>
      <c r="AC91" s="463">
        <f t="shared" si="14"/>
        <v>0</v>
      </c>
      <c r="AD91" s="463">
        <f t="shared" si="14"/>
        <v>0</v>
      </c>
      <c r="AE91" s="463">
        <f t="shared" si="14"/>
        <v>0</v>
      </c>
      <c r="AF91" s="621">
        <f t="shared" si="14"/>
        <v>0</v>
      </c>
      <c r="AG91" s="573"/>
      <c r="AH91" s="464"/>
      <c r="AI91" s="464"/>
      <c r="AJ91" s="464"/>
      <c r="AK91" s="464"/>
      <c r="AL91" s="465"/>
      <c r="AM91" s="463"/>
      <c r="AN91" s="464"/>
      <c r="AO91" s="464"/>
      <c r="AP91" s="464"/>
      <c r="AQ91" s="464"/>
      <c r="AR91" s="465"/>
      <c r="AS91" s="463"/>
      <c r="AT91" s="464"/>
      <c r="AU91" s="464"/>
      <c r="AV91" s="464"/>
      <c r="AW91" s="464"/>
      <c r="AX91" s="465"/>
      <c r="AY91" s="463"/>
      <c r="AZ91" s="464"/>
      <c r="BA91" s="464"/>
      <c r="BB91" s="464"/>
      <c r="BC91" s="464"/>
      <c r="BD91" s="465"/>
      <c r="BE91" s="463"/>
      <c r="BF91" s="464"/>
      <c r="BG91" s="464"/>
      <c r="BH91" s="464"/>
      <c r="BI91" s="464"/>
      <c r="BJ91" s="466"/>
    </row>
    <row r="92" spans="1:62" s="467" customFormat="1" ht="16.5" hidden="1" customHeight="1">
      <c r="A92" s="572"/>
      <c r="E92" s="454" t="s">
        <v>1186</v>
      </c>
      <c r="F92" s="455"/>
      <c r="G92" s="456"/>
      <c r="H92" s="457"/>
      <c r="I92" s="458" t="s">
        <v>1208</v>
      </c>
      <c r="J92" s="566"/>
      <c r="K92" s="566" t="s">
        <v>1203</v>
      </c>
      <c r="L92" s="460" t="s">
        <v>1191</v>
      </c>
      <c r="M92" s="463">
        <f t="shared" si="13"/>
        <v>0</v>
      </c>
      <c r="N92" s="463">
        <f t="shared" si="13"/>
        <v>0</v>
      </c>
      <c r="O92" s="463">
        <f t="shared" si="13"/>
        <v>0</v>
      </c>
      <c r="P92" s="463">
        <f t="shared" si="13"/>
        <v>0</v>
      </c>
      <c r="Q92" s="463">
        <f t="shared" si="13"/>
        <v>0</v>
      </c>
      <c r="R92" s="463">
        <f t="shared" si="13"/>
        <v>0</v>
      </c>
      <c r="S92" s="463">
        <f t="shared" si="13"/>
        <v>0</v>
      </c>
      <c r="T92" s="463">
        <f t="shared" si="13"/>
        <v>0</v>
      </c>
      <c r="U92" s="463">
        <f t="shared" si="13"/>
        <v>0</v>
      </c>
      <c r="V92" s="463">
        <f t="shared" si="13"/>
        <v>0</v>
      </c>
      <c r="W92" s="463">
        <f t="shared" si="13"/>
        <v>0</v>
      </c>
      <c r="X92" s="463">
        <f t="shared" si="14"/>
        <v>0</v>
      </c>
      <c r="Y92" s="463">
        <f t="shared" si="14"/>
        <v>0</v>
      </c>
      <c r="Z92" s="463">
        <f t="shared" si="14"/>
        <v>0</v>
      </c>
      <c r="AA92" s="463">
        <f t="shared" si="14"/>
        <v>1</v>
      </c>
      <c r="AB92" s="463">
        <f t="shared" si="14"/>
        <v>0</v>
      </c>
      <c r="AC92" s="463">
        <f t="shared" si="14"/>
        <v>0</v>
      </c>
      <c r="AD92" s="463">
        <f t="shared" si="14"/>
        <v>0</v>
      </c>
      <c r="AE92" s="463">
        <f t="shared" si="14"/>
        <v>0</v>
      </c>
      <c r="AF92" s="621">
        <f t="shared" si="14"/>
        <v>0</v>
      </c>
      <c r="AG92" s="573"/>
      <c r="AH92" s="464"/>
      <c r="AI92" s="464"/>
      <c r="AJ92" s="464"/>
      <c r="AK92" s="464"/>
      <c r="AL92" s="465"/>
      <c r="AM92" s="463"/>
      <c r="AN92" s="464"/>
      <c r="AO92" s="464"/>
      <c r="AP92" s="464"/>
      <c r="AQ92" s="464"/>
      <c r="AR92" s="465"/>
      <c r="AS92" s="463"/>
      <c r="AT92" s="464"/>
      <c r="AU92" s="464"/>
      <c r="AV92" s="464"/>
      <c r="AW92" s="464"/>
      <c r="AX92" s="465"/>
      <c r="AY92" s="463"/>
      <c r="AZ92" s="464"/>
      <c r="BA92" s="464"/>
      <c r="BB92" s="464"/>
      <c r="BC92" s="464"/>
      <c r="BD92" s="465"/>
      <c r="BE92" s="463"/>
      <c r="BF92" s="464"/>
      <c r="BG92" s="464"/>
      <c r="BH92" s="464"/>
      <c r="BI92" s="464"/>
      <c r="BJ92" s="466"/>
    </row>
    <row r="93" spans="1:62" s="467" customFormat="1" ht="16.5" hidden="1" customHeight="1">
      <c r="A93" s="572"/>
      <c r="E93" s="454" t="s">
        <v>1186</v>
      </c>
      <c r="F93" s="455"/>
      <c r="G93" s="456"/>
      <c r="H93" s="457"/>
      <c r="I93" s="458" t="s">
        <v>1209</v>
      </c>
      <c r="J93" s="566"/>
      <c r="K93" s="566" t="s">
        <v>1204</v>
      </c>
      <c r="L93" s="460" t="s">
        <v>1191</v>
      </c>
      <c r="M93" s="463">
        <f t="shared" si="13"/>
        <v>0</v>
      </c>
      <c r="N93" s="463">
        <f t="shared" si="13"/>
        <v>0</v>
      </c>
      <c r="O93" s="463">
        <f t="shared" si="13"/>
        <v>0</v>
      </c>
      <c r="P93" s="463">
        <f t="shared" si="13"/>
        <v>0</v>
      </c>
      <c r="Q93" s="463">
        <f t="shared" si="13"/>
        <v>0</v>
      </c>
      <c r="R93" s="463">
        <f t="shared" si="13"/>
        <v>0</v>
      </c>
      <c r="S93" s="463">
        <f t="shared" si="13"/>
        <v>0</v>
      </c>
      <c r="T93" s="463">
        <f t="shared" si="13"/>
        <v>0</v>
      </c>
      <c r="U93" s="463">
        <f t="shared" si="13"/>
        <v>0</v>
      </c>
      <c r="V93" s="463">
        <f t="shared" si="13"/>
        <v>0</v>
      </c>
      <c r="W93" s="463">
        <f t="shared" si="13"/>
        <v>0</v>
      </c>
      <c r="X93" s="463">
        <f t="shared" si="14"/>
        <v>0</v>
      </c>
      <c r="Y93" s="463">
        <f t="shared" si="14"/>
        <v>0</v>
      </c>
      <c r="Z93" s="463">
        <f t="shared" si="14"/>
        <v>0</v>
      </c>
      <c r="AA93" s="463">
        <f t="shared" si="14"/>
        <v>0</v>
      </c>
      <c r="AB93" s="463">
        <f t="shared" si="14"/>
        <v>1</v>
      </c>
      <c r="AC93" s="463">
        <f t="shared" si="14"/>
        <v>0</v>
      </c>
      <c r="AD93" s="463">
        <f t="shared" si="14"/>
        <v>0</v>
      </c>
      <c r="AE93" s="463">
        <f t="shared" si="14"/>
        <v>0</v>
      </c>
      <c r="AF93" s="621">
        <f t="shared" si="14"/>
        <v>0</v>
      </c>
      <c r="AG93" s="573"/>
      <c r="AH93" s="464"/>
      <c r="AI93" s="464"/>
      <c r="AJ93" s="464"/>
      <c r="AK93" s="464"/>
      <c r="AL93" s="465"/>
      <c r="AM93" s="463"/>
      <c r="AN93" s="464"/>
      <c r="AO93" s="464"/>
      <c r="AP93" s="464"/>
      <c r="AQ93" s="464"/>
      <c r="AR93" s="465"/>
      <c r="AS93" s="463"/>
      <c r="AT93" s="464"/>
      <c r="AU93" s="464"/>
      <c r="AV93" s="464"/>
      <c r="AW93" s="464"/>
      <c r="AX93" s="465"/>
      <c r="AY93" s="463"/>
      <c r="AZ93" s="464"/>
      <c r="BA93" s="464"/>
      <c r="BB93" s="464"/>
      <c r="BC93" s="464"/>
      <c r="BD93" s="465"/>
      <c r="BE93" s="463"/>
      <c r="BF93" s="464"/>
      <c r="BG93" s="464"/>
      <c r="BH93" s="464"/>
      <c r="BI93" s="464"/>
      <c r="BJ93" s="466"/>
    </row>
    <row r="94" spans="1:62" s="467" customFormat="1" ht="16.5" hidden="1" customHeight="1">
      <c r="A94" s="572"/>
      <c r="E94" s="454" t="s">
        <v>1186</v>
      </c>
      <c r="F94" s="455"/>
      <c r="G94" s="456"/>
      <c r="H94" s="457"/>
      <c r="I94" s="458" t="s">
        <v>1209</v>
      </c>
      <c r="J94" s="566"/>
      <c r="K94" s="571" t="s">
        <v>1204</v>
      </c>
      <c r="L94" s="460" t="s">
        <v>1191</v>
      </c>
      <c r="M94" s="463">
        <f t="shared" si="13"/>
        <v>0</v>
      </c>
      <c r="N94" s="463">
        <f t="shared" si="13"/>
        <v>0</v>
      </c>
      <c r="O94" s="463">
        <f t="shared" si="13"/>
        <v>0</v>
      </c>
      <c r="P94" s="463">
        <f t="shared" si="13"/>
        <v>0</v>
      </c>
      <c r="Q94" s="463">
        <f t="shared" si="13"/>
        <v>0</v>
      </c>
      <c r="R94" s="463">
        <f t="shared" si="13"/>
        <v>0</v>
      </c>
      <c r="S94" s="463">
        <f t="shared" si="13"/>
        <v>0</v>
      </c>
      <c r="T94" s="463">
        <f t="shared" si="13"/>
        <v>0</v>
      </c>
      <c r="U94" s="463">
        <f t="shared" si="13"/>
        <v>0</v>
      </c>
      <c r="V94" s="463">
        <f t="shared" si="13"/>
        <v>0</v>
      </c>
      <c r="W94" s="463">
        <f t="shared" si="13"/>
        <v>0</v>
      </c>
      <c r="X94" s="463">
        <f t="shared" si="14"/>
        <v>0</v>
      </c>
      <c r="Y94" s="463">
        <f t="shared" si="14"/>
        <v>0</v>
      </c>
      <c r="Z94" s="463">
        <f t="shared" si="14"/>
        <v>0</v>
      </c>
      <c r="AA94" s="463">
        <f t="shared" si="14"/>
        <v>0</v>
      </c>
      <c r="AB94" s="463">
        <f t="shared" si="14"/>
        <v>1</v>
      </c>
      <c r="AC94" s="463">
        <f t="shared" si="14"/>
        <v>0</v>
      </c>
      <c r="AD94" s="463">
        <f t="shared" si="14"/>
        <v>0</v>
      </c>
      <c r="AE94" s="463">
        <f t="shared" si="14"/>
        <v>0</v>
      </c>
      <c r="AF94" s="621">
        <f t="shared" si="14"/>
        <v>0</v>
      </c>
      <c r="AG94" s="573"/>
      <c r="AH94" s="464"/>
      <c r="AI94" s="464"/>
      <c r="AJ94" s="464"/>
      <c r="AK94" s="464"/>
      <c r="AL94" s="465"/>
      <c r="AM94" s="463"/>
      <c r="AN94" s="464"/>
      <c r="AO94" s="464"/>
      <c r="AP94" s="464"/>
      <c r="AQ94" s="464"/>
      <c r="AR94" s="465"/>
      <c r="AS94" s="463"/>
      <c r="AT94" s="464"/>
      <c r="AU94" s="464"/>
      <c r="AV94" s="464"/>
      <c r="AW94" s="464"/>
      <c r="AX94" s="465"/>
      <c r="AY94" s="463"/>
      <c r="AZ94" s="464"/>
      <c r="BA94" s="464"/>
      <c r="BB94" s="464"/>
      <c r="BC94" s="464"/>
      <c r="BD94" s="465"/>
      <c r="BE94" s="463"/>
      <c r="BF94" s="464"/>
      <c r="BG94" s="464"/>
      <c r="BH94" s="464"/>
      <c r="BI94" s="464"/>
      <c r="BJ94" s="466"/>
    </row>
    <row r="95" spans="1:62" s="467" customFormat="1" ht="16.5" hidden="1" customHeight="1">
      <c r="A95" s="572"/>
      <c r="E95" s="454" t="s">
        <v>1186</v>
      </c>
      <c r="F95" s="455"/>
      <c r="G95" s="456"/>
      <c r="H95" s="457"/>
      <c r="I95" s="458" t="s">
        <v>1209</v>
      </c>
      <c r="J95" s="566"/>
      <c r="K95" s="571" t="s">
        <v>1204</v>
      </c>
      <c r="L95" s="460" t="s">
        <v>1191</v>
      </c>
      <c r="M95" s="463">
        <f t="shared" si="13"/>
        <v>0</v>
      </c>
      <c r="N95" s="463">
        <f t="shared" si="13"/>
        <v>0</v>
      </c>
      <c r="O95" s="463">
        <f t="shared" si="13"/>
        <v>0</v>
      </c>
      <c r="P95" s="463">
        <f t="shared" si="13"/>
        <v>0</v>
      </c>
      <c r="Q95" s="463">
        <f t="shared" ref="Q95:W97" si="15">+IF($L95=Q$10,IF($K95=Q$11,1,0),0)</f>
        <v>0</v>
      </c>
      <c r="R95" s="463">
        <f t="shared" si="15"/>
        <v>0</v>
      </c>
      <c r="S95" s="463">
        <f t="shared" si="15"/>
        <v>0</v>
      </c>
      <c r="T95" s="463">
        <f t="shared" si="15"/>
        <v>0</v>
      </c>
      <c r="U95" s="463">
        <f t="shared" si="15"/>
        <v>0</v>
      </c>
      <c r="V95" s="463">
        <f t="shared" si="15"/>
        <v>0</v>
      </c>
      <c r="W95" s="463">
        <f t="shared" si="15"/>
        <v>0</v>
      </c>
      <c r="X95" s="463">
        <f t="shared" si="14"/>
        <v>0</v>
      </c>
      <c r="Y95" s="463">
        <f t="shared" si="14"/>
        <v>0</v>
      </c>
      <c r="Z95" s="463">
        <f t="shared" si="14"/>
        <v>0</v>
      </c>
      <c r="AA95" s="463">
        <f t="shared" si="14"/>
        <v>0</v>
      </c>
      <c r="AB95" s="463">
        <f t="shared" si="14"/>
        <v>1</v>
      </c>
      <c r="AC95" s="463">
        <f t="shared" si="14"/>
        <v>0</v>
      </c>
      <c r="AD95" s="463">
        <f t="shared" si="14"/>
        <v>0</v>
      </c>
      <c r="AE95" s="463">
        <f t="shared" si="14"/>
        <v>0</v>
      </c>
      <c r="AF95" s="621">
        <f t="shared" si="14"/>
        <v>0</v>
      </c>
      <c r="AG95" s="573"/>
      <c r="AH95" s="464"/>
      <c r="AI95" s="464"/>
      <c r="AJ95" s="464"/>
      <c r="AK95" s="464"/>
      <c r="AL95" s="465"/>
      <c r="AM95" s="463"/>
      <c r="AN95" s="464"/>
      <c r="AO95" s="464"/>
      <c r="AP95" s="464"/>
      <c r="AQ95" s="464"/>
      <c r="AR95" s="465"/>
      <c r="AS95" s="463"/>
      <c r="AT95" s="464"/>
      <c r="AU95" s="464"/>
      <c r="AV95" s="464"/>
      <c r="AW95" s="464"/>
      <c r="AX95" s="465"/>
      <c r="AY95" s="463"/>
      <c r="AZ95" s="464"/>
      <c r="BA95" s="464"/>
      <c r="BB95" s="464"/>
      <c r="BC95" s="464"/>
      <c r="BD95" s="465"/>
      <c r="BE95" s="463"/>
      <c r="BF95" s="464"/>
      <c r="BG95" s="464"/>
      <c r="BH95" s="464"/>
      <c r="BI95" s="464"/>
      <c r="BJ95" s="466"/>
    </row>
    <row r="96" spans="1:62" s="579" customFormat="1" ht="16.5" hidden="1" customHeight="1">
      <c r="E96" s="435" t="s">
        <v>1102</v>
      </c>
      <c r="F96" s="436"/>
      <c r="G96" s="437"/>
      <c r="H96" s="438" t="str">
        <f t="shared" ref="H96:H299" si="16">+CONCATENATE(F96,"-",G96)</f>
        <v>-</v>
      </c>
      <c r="I96" s="439"/>
      <c r="J96" s="565"/>
      <c r="K96" s="580"/>
      <c r="L96" s="441"/>
      <c r="M96" s="444">
        <f t="shared" ref="M96:AG96" si="17">SUM(M97:M120)</f>
        <v>0</v>
      </c>
      <c r="N96" s="444">
        <f t="shared" si="17"/>
        <v>3</v>
      </c>
      <c r="O96" s="444">
        <f t="shared" si="17"/>
        <v>6</v>
      </c>
      <c r="P96" s="444">
        <f t="shared" si="17"/>
        <v>3</v>
      </c>
      <c r="Q96" s="444">
        <f t="shared" si="17"/>
        <v>1</v>
      </c>
      <c r="R96" s="444">
        <f t="shared" si="17"/>
        <v>0</v>
      </c>
      <c r="S96" s="444">
        <f t="shared" si="17"/>
        <v>31</v>
      </c>
      <c r="T96" s="444">
        <f t="shared" si="17"/>
        <v>29</v>
      </c>
      <c r="U96" s="444">
        <f t="shared" si="17"/>
        <v>0</v>
      </c>
      <c r="V96" s="444">
        <f t="shared" si="17"/>
        <v>1</v>
      </c>
      <c r="W96" s="444">
        <f t="shared" si="17"/>
        <v>0</v>
      </c>
      <c r="X96" s="444">
        <f t="shared" si="17"/>
        <v>0</v>
      </c>
      <c r="Y96" s="444">
        <f t="shared" si="17"/>
        <v>0</v>
      </c>
      <c r="Z96" s="444">
        <f t="shared" si="17"/>
        <v>0</v>
      </c>
      <c r="AA96" s="444">
        <f t="shared" si="17"/>
        <v>1</v>
      </c>
      <c r="AB96" s="444">
        <f t="shared" si="17"/>
        <v>7</v>
      </c>
      <c r="AC96" s="444">
        <f t="shared" si="17"/>
        <v>0</v>
      </c>
      <c r="AD96" s="444">
        <f t="shared" si="17"/>
        <v>0</v>
      </c>
      <c r="AE96" s="444">
        <f t="shared" si="17"/>
        <v>0</v>
      </c>
      <c r="AF96" s="620">
        <f t="shared" si="17"/>
        <v>0</v>
      </c>
      <c r="AG96" s="619">
        <f t="shared" si="17"/>
        <v>0</v>
      </c>
      <c r="AH96" s="445"/>
      <c r="AI96" s="445"/>
      <c r="AJ96" s="445"/>
      <c r="AK96" s="445"/>
      <c r="AL96" s="446"/>
      <c r="AM96" s="444"/>
      <c r="AN96" s="445"/>
      <c r="AO96" s="445"/>
      <c r="AP96" s="445"/>
      <c r="AQ96" s="445"/>
      <c r="AR96" s="446"/>
      <c r="AS96" s="444"/>
      <c r="AT96" s="445"/>
      <c r="AU96" s="445"/>
      <c r="AV96" s="445"/>
      <c r="AW96" s="445"/>
      <c r="AX96" s="446"/>
      <c r="AY96" s="444"/>
      <c r="AZ96" s="445"/>
      <c r="BA96" s="445"/>
      <c r="BB96" s="445"/>
      <c r="BC96" s="445"/>
      <c r="BD96" s="446"/>
      <c r="BE96" s="444"/>
      <c r="BF96" s="445"/>
      <c r="BG96" s="445"/>
      <c r="BH96" s="445">
        <f>+IF($I96=BH$10,IF($L96=BH$11,#REF!,0),0)</f>
        <v>0</v>
      </c>
      <c r="BI96" s="445">
        <f>+IF($I96=BI$10,IF($L96=BI$11,#REF!,0),0)</f>
        <v>0</v>
      </c>
      <c r="BJ96" s="468">
        <f>+IF($I96=BJ$10,IF($L96=BJ$11,#REF!,0),0)</f>
        <v>0</v>
      </c>
    </row>
    <row r="97" spans="5:62" s="467" customFormat="1" ht="16.5" hidden="1" customHeight="1">
      <c r="E97" s="454" t="s">
        <v>1214</v>
      </c>
      <c r="F97" s="455"/>
      <c r="G97" s="456"/>
      <c r="H97" s="457" t="str">
        <f t="shared" si="16"/>
        <v>-</v>
      </c>
      <c r="I97" s="458" t="s">
        <v>1193</v>
      </c>
      <c r="J97" s="566" t="s">
        <v>1192</v>
      </c>
      <c r="K97" s="571">
        <v>200</v>
      </c>
      <c r="L97" s="460" t="s">
        <v>1188</v>
      </c>
      <c r="M97" s="463">
        <f t="shared" ref="M97:W98" si="18">+IF($L97=M$10,IF($K97=M$11,1,0),0)</f>
        <v>0</v>
      </c>
      <c r="N97" s="463">
        <f t="shared" si="18"/>
        <v>0</v>
      </c>
      <c r="O97" s="463">
        <f t="shared" si="18"/>
        <v>1</v>
      </c>
      <c r="P97" s="463">
        <f t="shared" si="18"/>
        <v>0</v>
      </c>
      <c r="Q97" s="463">
        <f t="shared" si="15"/>
        <v>0</v>
      </c>
      <c r="R97" s="463">
        <f t="shared" si="15"/>
        <v>0</v>
      </c>
      <c r="S97" s="463">
        <f t="shared" si="15"/>
        <v>0</v>
      </c>
      <c r="T97" s="463">
        <f t="shared" si="15"/>
        <v>0</v>
      </c>
      <c r="U97" s="463">
        <f t="shared" si="15"/>
        <v>0</v>
      </c>
      <c r="V97" s="463">
        <f t="shared" si="15"/>
        <v>0</v>
      </c>
      <c r="W97" s="463">
        <f t="shared" si="15"/>
        <v>0</v>
      </c>
      <c r="X97" s="463">
        <f t="shared" si="14"/>
        <v>0</v>
      </c>
      <c r="Y97" s="463">
        <f t="shared" si="14"/>
        <v>0</v>
      </c>
      <c r="Z97" s="463">
        <f t="shared" si="14"/>
        <v>0</v>
      </c>
      <c r="AA97" s="463">
        <f t="shared" si="14"/>
        <v>0</v>
      </c>
      <c r="AB97" s="463">
        <f t="shared" si="14"/>
        <v>0</v>
      </c>
      <c r="AC97" s="463">
        <f t="shared" si="14"/>
        <v>0</v>
      </c>
      <c r="AD97" s="463">
        <f t="shared" si="14"/>
        <v>0</v>
      </c>
      <c r="AE97" s="463">
        <f t="shared" si="14"/>
        <v>0</v>
      </c>
      <c r="AF97" s="621">
        <f t="shared" si="14"/>
        <v>0</v>
      </c>
      <c r="AG97" s="573"/>
      <c r="AH97" s="464"/>
      <c r="AI97" s="464"/>
      <c r="AJ97" s="464"/>
      <c r="AK97" s="464"/>
      <c r="AL97" s="465"/>
      <c r="AM97" s="463"/>
      <c r="AN97" s="464"/>
      <c r="AO97" s="464"/>
      <c r="AP97" s="464"/>
      <c r="AQ97" s="464"/>
      <c r="AR97" s="465"/>
      <c r="AS97" s="463"/>
      <c r="AT97" s="464"/>
      <c r="AU97" s="464"/>
      <c r="AV97" s="464"/>
      <c r="AW97" s="464"/>
      <c r="AX97" s="465"/>
      <c r="AY97" s="463"/>
      <c r="AZ97" s="464"/>
      <c r="BA97" s="464"/>
      <c r="BB97" s="464"/>
      <c r="BC97" s="464"/>
      <c r="BD97" s="465"/>
      <c r="BE97" s="463"/>
      <c r="BF97" s="464"/>
      <c r="BG97" s="464"/>
      <c r="BH97" s="464">
        <f>+IF($I97=BH$10,IF($L97=BH$11,#REF!,0),0)</f>
        <v>0</v>
      </c>
      <c r="BI97" s="464">
        <f>+IF($I97=BI$10,IF($L97=BI$11,#REF!,0),0)</f>
        <v>0</v>
      </c>
      <c r="BJ97" s="466">
        <f>+IF($I97=BJ$10,IF($L97=BJ$11,#REF!,0),0)</f>
        <v>0</v>
      </c>
    </row>
    <row r="98" spans="5:62" s="467" customFormat="1" ht="16.5" hidden="1" customHeight="1">
      <c r="E98" s="454" t="s">
        <v>1214</v>
      </c>
      <c r="F98" s="455"/>
      <c r="G98" s="456"/>
      <c r="H98" s="457" t="str">
        <f t="shared" si="16"/>
        <v>-</v>
      </c>
      <c r="I98" s="458" t="s">
        <v>1194</v>
      </c>
      <c r="J98" s="566" t="s">
        <v>1192</v>
      </c>
      <c r="K98" s="571">
        <v>250</v>
      </c>
      <c r="L98" s="460" t="s">
        <v>1188</v>
      </c>
      <c r="M98" s="463">
        <f t="shared" si="18"/>
        <v>0</v>
      </c>
      <c r="N98" s="463">
        <f t="shared" si="18"/>
        <v>0</v>
      </c>
      <c r="O98" s="463">
        <f t="shared" si="18"/>
        <v>0</v>
      </c>
      <c r="P98" s="463">
        <f t="shared" si="18"/>
        <v>1</v>
      </c>
      <c r="Q98" s="463">
        <f t="shared" si="18"/>
        <v>0</v>
      </c>
      <c r="R98" s="463">
        <f t="shared" si="18"/>
        <v>0</v>
      </c>
      <c r="S98" s="463">
        <f t="shared" si="18"/>
        <v>0</v>
      </c>
      <c r="T98" s="463">
        <f t="shared" si="18"/>
        <v>0</v>
      </c>
      <c r="U98" s="463">
        <f t="shared" si="18"/>
        <v>0</v>
      </c>
      <c r="V98" s="463">
        <f t="shared" si="18"/>
        <v>0</v>
      </c>
      <c r="W98" s="463">
        <f t="shared" si="18"/>
        <v>0</v>
      </c>
      <c r="X98" s="463">
        <f t="shared" si="14"/>
        <v>0</v>
      </c>
      <c r="Y98" s="463">
        <f t="shared" si="14"/>
        <v>0</v>
      </c>
      <c r="Z98" s="463">
        <f t="shared" si="14"/>
        <v>0</v>
      </c>
      <c r="AA98" s="463">
        <f t="shared" si="14"/>
        <v>0</v>
      </c>
      <c r="AB98" s="463">
        <f t="shared" si="14"/>
        <v>0</v>
      </c>
      <c r="AC98" s="463">
        <f t="shared" si="14"/>
        <v>0</v>
      </c>
      <c r="AD98" s="463">
        <f t="shared" si="14"/>
        <v>0</v>
      </c>
      <c r="AE98" s="463">
        <f t="shared" si="14"/>
        <v>0</v>
      </c>
      <c r="AF98" s="621">
        <f t="shared" si="14"/>
        <v>0</v>
      </c>
      <c r="AG98" s="573"/>
      <c r="AH98" s="464"/>
      <c r="AI98" s="464"/>
      <c r="AJ98" s="464"/>
      <c r="AK98" s="464"/>
      <c r="AL98" s="465"/>
      <c r="AM98" s="463"/>
      <c r="AN98" s="464"/>
      <c r="AO98" s="464"/>
      <c r="AP98" s="464"/>
      <c r="AQ98" s="464"/>
      <c r="AR98" s="465"/>
      <c r="AS98" s="463"/>
      <c r="AT98" s="464"/>
      <c r="AU98" s="464"/>
      <c r="AV98" s="464"/>
      <c r="AW98" s="464"/>
      <c r="AX98" s="465"/>
      <c r="AY98" s="463"/>
      <c r="AZ98" s="464"/>
      <c r="BA98" s="464"/>
      <c r="BB98" s="464"/>
      <c r="BC98" s="464"/>
      <c r="BD98" s="465"/>
      <c r="BE98" s="463"/>
      <c r="BF98" s="464"/>
      <c r="BG98" s="464"/>
      <c r="BH98" s="464">
        <f>+IF($I98=BH$10,IF($L98=BH$11,#REF!,0),0)</f>
        <v>0</v>
      </c>
      <c r="BI98" s="464">
        <f>+IF($I98=BI$10,IF($L98=BI$11,#REF!,0),0)</f>
        <v>0</v>
      </c>
      <c r="BJ98" s="466">
        <f>+IF($I98=BJ$10,IF($L98=BJ$11,#REF!,0),0)</f>
        <v>0</v>
      </c>
    </row>
    <row r="99" spans="5:62" s="467" customFormat="1" ht="16.5" hidden="1" customHeight="1">
      <c r="E99" s="454" t="s">
        <v>1214</v>
      </c>
      <c r="F99" s="455"/>
      <c r="G99" s="456"/>
      <c r="H99" s="457" t="str">
        <f t="shared" si="16"/>
        <v>-</v>
      </c>
      <c r="I99" s="458" t="s">
        <v>1193</v>
      </c>
      <c r="J99" s="566" t="s">
        <v>1192</v>
      </c>
      <c r="K99" s="571">
        <v>200</v>
      </c>
      <c r="L99" s="460" t="s">
        <v>1188</v>
      </c>
      <c r="M99" s="463">
        <f t="shared" ref="M99:AB120" si="19">+IF($L99=M$10,IF($K99=M$11,1,0),0)</f>
        <v>0</v>
      </c>
      <c r="N99" s="463">
        <f t="shared" si="19"/>
        <v>0</v>
      </c>
      <c r="O99" s="463">
        <f t="shared" si="19"/>
        <v>1</v>
      </c>
      <c r="P99" s="463">
        <f t="shared" si="19"/>
        <v>0</v>
      </c>
      <c r="Q99" s="463">
        <f t="shared" si="19"/>
        <v>0</v>
      </c>
      <c r="R99" s="463">
        <f t="shared" si="19"/>
        <v>0</v>
      </c>
      <c r="S99" s="463">
        <f t="shared" si="19"/>
        <v>0</v>
      </c>
      <c r="T99" s="463">
        <f t="shared" si="19"/>
        <v>0</v>
      </c>
      <c r="U99" s="463">
        <f t="shared" si="19"/>
        <v>0</v>
      </c>
      <c r="V99" s="463">
        <f t="shared" si="19"/>
        <v>0</v>
      </c>
      <c r="W99" s="463">
        <f t="shared" si="19"/>
        <v>0</v>
      </c>
      <c r="X99" s="463">
        <f t="shared" si="14"/>
        <v>0</v>
      </c>
      <c r="Y99" s="463">
        <f t="shared" si="14"/>
        <v>0</v>
      </c>
      <c r="Z99" s="463">
        <f t="shared" si="14"/>
        <v>0</v>
      </c>
      <c r="AA99" s="463">
        <f t="shared" si="14"/>
        <v>0</v>
      </c>
      <c r="AB99" s="463">
        <f t="shared" si="14"/>
        <v>0</v>
      </c>
      <c r="AC99" s="463">
        <f t="shared" si="14"/>
        <v>0</v>
      </c>
      <c r="AD99" s="463">
        <f t="shared" si="14"/>
        <v>0</v>
      </c>
      <c r="AE99" s="463">
        <f t="shared" si="14"/>
        <v>0</v>
      </c>
      <c r="AF99" s="621">
        <f t="shared" si="14"/>
        <v>0</v>
      </c>
      <c r="AG99" s="573"/>
      <c r="AH99" s="464"/>
      <c r="AI99" s="464"/>
      <c r="AJ99" s="464"/>
      <c r="AK99" s="464"/>
      <c r="AL99" s="465"/>
      <c r="AM99" s="463"/>
      <c r="AN99" s="464"/>
      <c r="AO99" s="464"/>
      <c r="AP99" s="464"/>
      <c r="AQ99" s="464"/>
      <c r="AR99" s="465"/>
      <c r="AS99" s="463"/>
      <c r="AT99" s="464"/>
      <c r="AU99" s="464"/>
      <c r="AV99" s="464"/>
      <c r="AW99" s="464"/>
      <c r="AX99" s="465"/>
      <c r="AY99" s="463"/>
      <c r="AZ99" s="464"/>
      <c r="BA99" s="464"/>
      <c r="BB99" s="464"/>
      <c r="BC99" s="464"/>
      <c r="BD99" s="465"/>
      <c r="BE99" s="463"/>
      <c r="BF99" s="464"/>
      <c r="BG99" s="464"/>
      <c r="BH99" s="464">
        <f>+IF($I99=BH$10,IF($L99=BH$11,#REF!,0),0)</f>
        <v>0</v>
      </c>
      <c r="BI99" s="464">
        <f>+IF($I99=BI$10,IF($L99=BI$11,#REF!,0),0)</f>
        <v>0</v>
      </c>
      <c r="BJ99" s="466">
        <f>+IF($I99=BJ$10,IF($L99=BJ$11,#REF!,0),0)</f>
        <v>0</v>
      </c>
    </row>
    <row r="100" spans="5:62" s="467" customFormat="1" ht="16.5" hidden="1" customHeight="1">
      <c r="E100" s="454" t="s">
        <v>1214</v>
      </c>
      <c r="F100" s="455"/>
      <c r="G100" s="456"/>
      <c r="H100" s="457"/>
      <c r="I100" s="458" t="s">
        <v>1194</v>
      </c>
      <c r="J100" s="566" t="s">
        <v>1192</v>
      </c>
      <c r="K100" s="571">
        <v>250</v>
      </c>
      <c r="L100" s="460" t="s">
        <v>1188</v>
      </c>
      <c r="M100" s="463">
        <f t="shared" si="19"/>
        <v>0</v>
      </c>
      <c r="N100" s="463">
        <f t="shared" si="19"/>
        <v>0</v>
      </c>
      <c r="O100" s="463">
        <f t="shared" si="19"/>
        <v>0</v>
      </c>
      <c r="P100" s="463">
        <f t="shared" si="19"/>
        <v>1</v>
      </c>
      <c r="Q100" s="463">
        <f t="shared" si="19"/>
        <v>0</v>
      </c>
      <c r="R100" s="463">
        <f t="shared" si="19"/>
        <v>0</v>
      </c>
      <c r="S100" s="463">
        <f t="shared" si="19"/>
        <v>0</v>
      </c>
      <c r="T100" s="463">
        <f t="shared" si="19"/>
        <v>0</v>
      </c>
      <c r="U100" s="463">
        <f t="shared" si="19"/>
        <v>0</v>
      </c>
      <c r="V100" s="463">
        <f t="shared" si="19"/>
        <v>0</v>
      </c>
      <c r="W100" s="463">
        <f t="shared" si="19"/>
        <v>0</v>
      </c>
      <c r="X100" s="463">
        <f t="shared" si="19"/>
        <v>0</v>
      </c>
      <c r="Y100" s="463">
        <f t="shared" si="19"/>
        <v>0</v>
      </c>
      <c r="Z100" s="463">
        <f t="shared" si="19"/>
        <v>0</v>
      </c>
      <c r="AA100" s="463">
        <f t="shared" si="19"/>
        <v>0</v>
      </c>
      <c r="AB100" s="463">
        <f t="shared" si="19"/>
        <v>0</v>
      </c>
      <c r="AC100" s="463">
        <f t="shared" ref="X100:AF120" si="20">+IF($L100=AC$10,IF($K100=AC$11,1,0),0)</f>
        <v>0</v>
      </c>
      <c r="AD100" s="463">
        <f t="shared" si="20"/>
        <v>0</v>
      </c>
      <c r="AE100" s="463">
        <f t="shared" si="20"/>
        <v>0</v>
      </c>
      <c r="AF100" s="621">
        <f t="shared" si="20"/>
        <v>0</v>
      </c>
      <c r="AG100" s="573"/>
      <c r="AH100" s="464"/>
      <c r="AI100" s="464"/>
      <c r="AJ100" s="464"/>
      <c r="AK100" s="464"/>
      <c r="AL100" s="465"/>
      <c r="AM100" s="463"/>
      <c r="AN100" s="464"/>
      <c r="AO100" s="464"/>
      <c r="AP100" s="464"/>
      <c r="AQ100" s="464"/>
      <c r="AR100" s="465"/>
      <c r="AS100" s="463"/>
      <c r="AT100" s="464"/>
      <c r="AU100" s="464"/>
      <c r="AV100" s="464"/>
      <c r="AW100" s="464"/>
      <c r="AX100" s="465"/>
      <c r="AY100" s="463"/>
      <c r="AZ100" s="464"/>
      <c r="BA100" s="464"/>
      <c r="BB100" s="464"/>
      <c r="BC100" s="464"/>
      <c r="BD100" s="465"/>
      <c r="BE100" s="463"/>
      <c r="BF100" s="464"/>
      <c r="BG100" s="464"/>
      <c r="BH100" s="464"/>
      <c r="BI100" s="464"/>
      <c r="BJ100" s="466"/>
    </row>
    <row r="101" spans="5:62" s="467" customFormat="1" ht="16.5" hidden="1" customHeight="1">
      <c r="E101" s="454" t="s">
        <v>1214</v>
      </c>
      <c r="F101" s="455"/>
      <c r="G101" s="456"/>
      <c r="H101" s="457"/>
      <c r="I101" s="458" t="s">
        <v>1197</v>
      </c>
      <c r="J101" s="566"/>
      <c r="K101" s="571">
        <v>200</v>
      </c>
      <c r="L101" s="460" t="s">
        <v>1188</v>
      </c>
      <c r="M101" s="463">
        <f t="shared" si="19"/>
        <v>0</v>
      </c>
      <c r="N101" s="463">
        <f t="shared" si="19"/>
        <v>0</v>
      </c>
      <c r="O101" s="463">
        <f t="shared" si="19"/>
        <v>1</v>
      </c>
      <c r="P101" s="463">
        <f t="shared" si="19"/>
        <v>0</v>
      </c>
      <c r="Q101" s="463">
        <f t="shared" si="19"/>
        <v>0</v>
      </c>
      <c r="R101" s="463">
        <f t="shared" si="19"/>
        <v>0</v>
      </c>
      <c r="S101" s="463">
        <f t="shared" si="19"/>
        <v>0</v>
      </c>
      <c r="T101" s="463">
        <f t="shared" si="19"/>
        <v>0</v>
      </c>
      <c r="U101" s="463">
        <f t="shared" si="19"/>
        <v>0</v>
      </c>
      <c r="V101" s="463">
        <f t="shared" si="19"/>
        <v>0</v>
      </c>
      <c r="W101" s="463">
        <f t="shared" si="19"/>
        <v>0</v>
      </c>
      <c r="X101" s="463">
        <f t="shared" si="20"/>
        <v>0</v>
      </c>
      <c r="Y101" s="463">
        <f t="shared" si="20"/>
        <v>0</v>
      </c>
      <c r="Z101" s="463">
        <f t="shared" si="20"/>
        <v>0</v>
      </c>
      <c r="AA101" s="463">
        <f t="shared" si="20"/>
        <v>0</v>
      </c>
      <c r="AB101" s="463">
        <f t="shared" si="20"/>
        <v>0</v>
      </c>
      <c r="AC101" s="463">
        <f t="shared" si="20"/>
        <v>0</v>
      </c>
      <c r="AD101" s="463">
        <f t="shared" si="20"/>
        <v>0</v>
      </c>
      <c r="AE101" s="463">
        <f t="shared" si="20"/>
        <v>0</v>
      </c>
      <c r="AF101" s="621">
        <f t="shared" si="20"/>
        <v>0</v>
      </c>
      <c r="AG101" s="573"/>
      <c r="AH101" s="464"/>
      <c r="AI101" s="464"/>
      <c r="AJ101" s="464"/>
      <c r="AK101" s="464"/>
      <c r="AL101" s="465"/>
      <c r="AM101" s="463"/>
      <c r="AN101" s="464"/>
      <c r="AO101" s="464"/>
      <c r="AP101" s="464"/>
      <c r="AQ101" s="464"/>
      <c r="AR101" s="465"/>
      <c r="AS101" s="463"/>
      <c r="AT101" s="464"/>
      <c r="AU101" s="464"/>
      <c r="AV101" s="464"/>
      <c r="AW101" s="464"/>
      <c r="AX101" s="465"/>
      <c r="AY101" s="463"/>
      <c r="AZ101" s="464"/>
      <c r="BA101" s="464"/>
      <c r="BB101" s="464"/>
      <c r="BC101" s="464"/>
      <c r="BD101" s="465"/>
      <c r="BE101" s="463"/>
      <c r="BF101" s="464"/>
      <c r="BG101" s="464"/>
      <c r="BH101" s="464"/>
      <c r="BI101" s="464"/>
      <c r="BJ101" s="466"/>
    </row>
    <row r="102" spans="5:62" s="467" customFormat="1" ht="16.5" hidden="1" customHeight="1">
      <c r="E102" s="454" t="s">
        <v>1214</v>
      </c>
      <c r="F102" s="455"/>
      <c r="G102" s="456"/>
      <c r="H102" s="457"/>
      <c r="I102" s="458" t="s">
        <v>1197</v>
      </c>
      <c r="J102" s="566"/>
      <c r="K102" s="571">
        <v>200</v>
      </c>
      <c r="L102" s="460" t="s">
        <v>1188</v>
      </c>
      <c r="M102" s="463">
        <f t="shared" si="19"/>
        <v>0</v>
      </c>
      <c r="N102" s="463">
        <f t="shared" si="19"/>
        <v>0</v>
      </c>
      <c r="O102" s="463">
        <f t="shared" si="19"/>
        <v>1</v>
      </c>
      <c r="P102" s="463">
        <f t="shared" si="19"/>
        <v>0</v>
      </c>
      <c r="Q102" s="463">
        <f t="shared" si="19"/>
        <v>0</v>
      </c>
      <c r="R102" s="463">
        <f t="shared" si="19"/>
        <v>0</v>
      </c>
      <c r="S102" s="463">
        <f t="shared" si="19"/>
        <v>0</v>
      </c>
      <c r="T102" s="463">
        <f t="shared" si="19"/>
        <v>0</v>
      </c>
      <c r="U102" s="463">
        <f t="shared" si="19"/>
        <v>0</v>
      </c>
      <c r="V102" s="463">
        <f t="shared" si="19"/>
        <v>0</v>
      </c>
      <c r="W102" s="463">
        <f t="shared" si="19"/>
        <v>0</v>
      </c>
      <c r="X102" s="463">
        <f t="shared" si="20"/>
        <v>0</v>
      </c>
      <c r="Y102" s="463">
        <f t="shared" si="20"/>
        <v>0</v>
      </c>
      <c r="Z102" s="463">
        <f t="shared" si="20"/>
        <v>0</v>
      </c>
      <c r="AA102" s="463">
        <f t="shared" si="20"/>
        <v>0</v>
      </c>
      <c r="AB102" s="463">
        <f t="shared" si="20"/>
        <v>0</v>
      </c>
      <c r="AC102" s="463">
        <f t="shared" si="20"/>
        <v>0</v>
      </c>
      <c r="AD102" s="463">
        <f t="shared" si="20"/>
        <v>0</v>
      </c>
      <c r="AE102" s="463">
        <f t="shared" si="20"/>
        <v>0</v>
      </c>
      <c r="AF102" s="621">
        <f t="shared" si="20"/>
        <v>0</v>
      </c>
      <c r="AG102" s="573"/>
      <c r="AH102" s="464"/>
      <c r="AI102" s="464"/>
      <c r="AJ102" s="464"/>
      <c r="AK102" s="464"/>
      <c r="AL102" s="465"/>
      <c r="AM102" s="463"/>
      <c r="AN102" s="464"/>
      <c r="AO102" s="464"/>
      <c r="AP102" s="464"/>
      <c r="AQ102" s="464"/>
      <c r="AR102" s="465"/>
      <c r="AS102" s="463"/>
      <c r="AT102" s="464"/>
      <c r="AU102" s="464"/>
      <c r="AV102" s="464"/>
      <c r="AW102" s="464"/>
      <c r="AX102" s="465"/>
      <c r="AY102" s="463"/>
      <c r="AZ102" s="464"/>
      <c r="BA102" s="464"/>
      <c r="BB102" s="464"/>
      <c r="BC102" s="464"/>
      <c r="BD102" s="465"/>
      <c r="BE102" s="463"/>
      <c r="BF102" s="464"/>
      <c r="BG102" s="464"/>
      <c r="BH102" s="464"/>
      <c r="BI102" s="464"/>
      <c r="BJ102" s="466"/>
    </row>
    <row r="103" spans="5:62" s="467" customFormat="1" ht="16.5" hidden="1" customHeight="1">
      <c r="E103" s="454" t="s">
        <v>1214</v>
      </c>
      <c r="F103" s="455"/>
      <c r="G103" s="456"/>
      <c r="H103" s="457"/>
      <c r="I103" s="458" t="s">
        <v>1193</v>
      </c>
      <c r="J103" s="566" t="s">
        <v>1192</v>
      </c>
      <c r="K103" s="571">
        <v>150</v>
      </c>
      <c r="L103" s="460" t="s">
        <v>1188</v>
      </c>
      <c r="M103" s="463">
        <f t="shared" si="19"/>
        <v>0</v>
      </c>
      <c r="N103" s="463">
        <f t="shared" si="19"/>
        <v>1</v>
      </c>
      <c r="O103" s="463">
        <f t="shared" si="19"/>
        <v>0</v>
      </c>
      <c r="P103" s="463">
        <f t="shared" si="19"/>
        <v>0</v>
      </c>
      <c r="Q103" s="463">
        <f t="shared" si="19"/>
        <v>0</v>
      </c>
      <c r="R103" s="463">
        <f t="shared" si="19"/>
        <v>0</v>
      </c>
      <c r="S103" s="463">
        <f t="shared" si="19"/>
        <v>0</v>
      </c>
      <c r="T103" s="463">
        <f t="shared" si="19"/>
        <v>0</v>
      </c>
      <c r="U103" s="463">
        <f t="shared" si="19"/>
        <v>0</v>
      </c>
      <c r="V103" s="463">
        <f t="shared" si="19"/>
        <v>0</v>
      </c>
      <c r="W103" s="463">
        <f t="shared" si="19"/>
        <v>0</v>
      </c>
      <c r="X103" s="463">
        <f t="shared" si="20"/>
        <v>0</v>
      </c>
      <c r="Y103" s="463">
        <f t="shared" si="20"/>
        <v>0</v>
      </c>
      <c r="Z103" s="463">
        <f t="shared" si="20"/>
        <v>0</v>
      </c>
      <c r="AA103" s="463">
        <f t="shared" si="20"/>
        <v>0</v>
      </c>
      <c r="AB103" s="463">
        <f t="shared" si="20"/>
        <v>0</v>
      </c>
      <c r="AC103" s="463">
        <f t="shared" si="20"/>
        <v>0</v>
      </c>
      <c r="AD103" s="463">
        <f t="shared" si="20"/>
        <v>0</v>
      </c>
      <c r="AE103" s="463">
        <f t="shared" si="20"/>
        <v>0</v>
      </c>
      <c r="AF103" s="621">
        <f t="shared" si="20"/>
        <v>0</v>
      </c>
      <c r="AG103" s="573"/>
      <c r="AH103" s="464"/>
      <c r="AI103" s="464"/>
      <c r="AJ103" s="464"/>
      <c r="AK103" s="464"/>
      <c r="AL103" s="465"/>
      <c r="AM103" s="463"/>
      <c r="AN103" s="464"/>
      <c r="AO103" s="464"/>
      <c r="AP103" s="464"/>
      <c r="AQ103" s="464"/>
      <c r="AR103" s="465"/>
      <c r="AS103" s="463"/>
      <c r="AT103" s="464"/>
      <c r="AU103" s="464"/>
      <c r="AV103" s="464"/>
      <c r="AW103" s="464"/>
      <c r="AX103" s="465"/>
      <c r="AY103" s="463"/>
      <c r="AZ103" s="464"/>
      <c r="BA103" s="464"/>
      <c r="BB103" s="464"/>
      <c r="BC103" s="464"/>
      <c r="BD103" s="465"/>
      <c r="BE103" s="463"/>
      <c r="BF103" s="464"/>
      <c r="BG103" s="464"/>
      <c r="BH103" s="464"/>
      <c r="BI103" s="464"/>
      <c r="BJ103" s="466"/>
    </row>
    <row r="104" spans="5:62" s="467" customFormat="1" ht="16.5" hidden="1" customHeight="1">
      <c r="E104" s="454" t="s">
        <v>1214</v>
      </c>
      <c r="F104" s="455"/>
      <c r="G104" s="456"/>
      <c r="H104" s="457"/>
      <c r="I104" s="458" t="s">
        <v>1197</v>
      </c>
      <c r="J104" s="566" t="s">
        <v>1198</v>
      </c>
      <c r="K104" s="571">
        <v>300</v>
      </c>
      <c r="L104" s="460" t="s">
        <v>1188</v>
      </c>
      <c r="M104" s="463">
        <f t="shared" si="19"/>
        <v>0</v>
      </c>
      <c r="N104" s="463">
        <f t="shared" si="19"/>
        <v>0</v>
      </c>
      <c r="O104" s="463">
        <f t="shared" si="19"/>
        <v>0</v>
      </c>
      <c r="P104" s="463">
        <f t="shared" si="19"/>
        <v>0</v>
      </c>
      <c r="Q104" s="463">
        <f t="shared" si="19"/>
        <v>1</v>
      </c>
      <c r="R104" s="463">
        <f t="shared" si="19"/>
        <v>0</v>
      </c>
      <c r="S104" s="463">
        <f t="shared" si="19"/>
        <v>0</v>
      </c>
      <c r="T104" s="463">
        <f t="shared" si="19"/>
        <v>0</v>
      </c>
      <c r="U104" s="463">
        <f t="shared" si="19"/>
        <v>0</v>
      </c>
      <c r="V104" s="463">
        <f t="shared" si="19"/>
        <v>0</v>
      </c>
      <c r="W104" s="463">
        <f t="shared" si="19"/>
        <v>0</v>
      </c>
      <c r="X104" s="463">
        <f t="shared" si="20"/>
        <v>0</v>
      </c>
      <c r="Y104" s="463">
        <f t="shared" si="20"/>
        <v>0</v>
      </c>
      <c r="Z104" s="463">
        <f t="shared" si="20"/>
        <v>0</v>
      </c>
      <c r="AA104" s="463">
        <f t="shared" si="20"/>
        <v>0</v>
      </c>
      <c r="AB104" s="463">
        <f t="shared" si="20"/>
        <v>0</v>
      </c>
      <c r="AC104" s="463">
        <f t="shared" si="20"/>
        <v>0</v>
      </c>
      <c r="AD104" s="463">
        <f t="shared" si="20"/>
        <v>0</v>
      </c>
      <c r="AE104" s="463">
        <f t="shared" si="20"/>
        <v>0</v>
      </c>
      <c r="AF104" s="621">
        <f t="shared" si="20"/>
        <v>0</v>
      </c>
      <c r="AG104" s="573"/>
      <c r="AH104" s="464"/>
      <c r="AI104" s="464"/>
      <c r="AJ104" s="464"/>
      <c r="AK104" s="464"/>
      <c r="AL104" s="465"/>
      <c r="AM104" s="463"/>
      <c r="AN104" s="464"/>
      <c r="AO104" s="464"/>
      <c r="AP104" s="464"/>
      <c r="AQ104" s="464"/>
      <c r="AR104" s="465"/>
      <c r="AS104" s="463"/>
      <c r="AT104" s="464"/>
      <c r="AU104" s="464"/>
      <c r="AV104" s="464"/>
      <c r="AW104" s="464"/>
      <c r="AX104" s="465"/>
      <c r="AY104" s="463"/>
      <c r="AZ104" s="464"/>
      <c r="BA104" s="464"/>
      <c r="BB104" s="464"/>
      <c r="BC104" s="464"/>
      <c r="BD104" s="465"/>
      <c r="BE104" s="463"/>
      <c r="BF104" s="464"/>
      <c r="BG104" s="464"/>
      <c r="BH104" s="464"/>
      <c r="BI104" s="464"/>
      <c r="BJ104" s="466"/>
    </row>
    <row r="105" spans="5:62" s="467" customFormat="1" ht="16.5" hidden="1" customHeight="1">
      <c r="E105" s="454" t="s">
        <v>1214</v>
      </c>
      <c r="F105" s="455"/>
      <c r="G105" s="456"/>
      <c r="H105" s="457"/>
      <c r="I105" s="458" t="s">
        <v>1197</v>
      </c>
      <c r="J105" s="566" t="s">
        <v>1198</v>
      </c>
      <c r="K105" s="571">
        <v>200</v>
      </c>
      <c r="L105" s="460" t="s">
        <v>1188</v>
      </c>
      <c r="M105" s="463">
        <f t="shared" si="19"/>
        <v>0</v>
      </c>
      <c r="N105" s="463">
        <f t="shared" si="19"/>
        <v>0</v>
      </c>
      <c r="O105" s="463">
        <f t="shared" si="19"/>
        <v>1</v>
      </c>
      <c r="P105" s="463">
        <f t="shared" si="19"/>
        <v>0</v>
      </c>
      <c r="Q105" s="463">
        <f t="shared" si="19"/>
        <v>0</v>
      </c>
      <c r="R105" s="463">
        <f t="shared" si="19"/>
        <v>0</v>
      </c>
      <c r="S105" s="463">
        <f t="shared" si="19"/>
        <v>0</v>
      </c>
      <c r="T105" s="463">
        <f t="shared" si="19"/>
        <v>0</v>
      </c>
      <c r="U105" s="463">
        <f t="shared" si="19"/>
        <v>0</v>
      </c>
      <c r="V105" s="463">
        <f t="shared" si="19"/>
        <v>0</v>
      </c>
      <c r="W105" s="463">
        <f t="shared" si="19"/>
        <v>0</v>
      </c>
      <c r="X105" s="463">
        <f t="shared" si="20"/>
        <v>0</v>
      </c>
      <c r="Y105" s="463">
        <f t="shared" si="20"/>
        <v>0</v>
      </c>
      <c r="Z105" s="463">
        <f t="shared" si="20"/>
        <v>0</v>
      </c>
      <c r="AA105" s="463">
        <f t="shared" si="20"/>
        <v>0</v>
      </c>
      <c r="AB105" s="463">
        <f t="shared" si="20"/>
        <v>0</v>
      </c>
      <c r="AC105" s="463">
        <f t="shared" si="20"/>
        <v>0</v>
      </c>
      <c r="AD105" s="463">
        <f t="shared" si="20"/>
        <v>0</v>
      </c>
      <c r="AE105" s="463">
        <f t="shared" si="20"/>
        <v>0</v>
      </c>
      <c r="AF105" s="621">
        <f t="shared" si="20"/>
        <v>0</v>
      </c>
      <c r="AG105" s="573"/>
      <c r="AH105" s="464"/>
      <c r="AI105" s="464"/>
      <c r="AJ105" s="464"/>
      <c r="AK105" s="464"/>
      <c r="AL105" s="465"/>
      <c r="AM105" s="463"/>
      <c r="AN105" s="464"/>
      <c r="AO105" s="464"/>
      <c r="AP105" s="464"/>
      <c r="AQ105" s="464"/>
      <c r="AR105" s="465"/>
      <c r="AS105" s="463"/>
      <c r="AT105" s="464"/>
      <c r="AU105" s="464"/>
      <c r="AV105" s="464"/>
      <c r="AW105" s="464"/>
      <c r="AX105" s="465"/>
      <c r="AY105" s="463"/>
      <c r="AZ105" s="464"/>
      <c r="BA105" s="464"/>
      <c r="BB105" s="464"/>
      <c r="BC105" s="464"/>
      <c r="BD105" s="465"/>
      <c r="BE105" s="463"/>
      <c r="BF105" s="464"/>
      <c r="BG105" s="464"/>
      <c r="BH105" s="464"/>
      <c r="BI105" s="464"/>
      <c r="BJ105" s="466"/>
    </row>
    <row r="106" spans="5:62" s="467" customFormat="1" ht="16.5" hidden="1" customHeight="1">
      <c r="E106" s="454" t="s">
        <v>1214</v>
      </c>
      <c r="F106" s="455"/>
      <c r="G106" s="456"/>
      <c r="H106" s="457"/>
      <c r="I106" s="458" t="s">
        <v>1193</v>
      </c>
      <c r="J106" s="566" t="s">
        <v>1192</v>
      </c>
      <c r="K106" s="571">
        <v>200</v>
      </c>
      <c r="L106" s="460" t="s">
        <v>1188</v>
      </c>
      <c r="M106" s="463">
        <f t="shared" si="19"/>
        <v>0</v>
      </c>
      <c r="N106" s="463">
        <f t="shared" si="19"/>
        <v>0</v>
      </c>
      <c r="O106" s="463">
        <f t="shared" si="19"/>
        <v>1</v>
      </c>
      <c r="P106" s="463">
        <f t="shared" si="19"/>
        <v>0</v>
      </c>
      <c r="Q106" s="463">
        <f t="shared" si="19"/>
        <v>0</v>
      </c>
      <c r="R106" s="463">
        <f t="shared" si="19"/>
        <v>0</v>
      </c>
      <c r="S106" s="463">
        <f t="shared" si="19"/>
        <v>0</v>
      </c>
      <c r="T106" s="463">
        <f t="shared" si="19"/>
        <v>0</v>
      </c>
      <c r="U106" s="463">
        <f t="shared" si="19"/>
        <v>0</v>
      </c>
      <c r="V106" s="463">
        <f t="shared" si="19"/>
        <v>0</v>
      </c>
      <c r="W106" s="463">
        <f t="shared" si="19"/>
        <v>0</v>
      </c>
      <c r="X106" s="463">
        <f t="shared" si="20"/>
        <v>0</v>
      </c>
      <c r="Y106" s="463">
        <f t="shared" si="20"/>
        <v>0</v>
      </c>
      <c r="Z106" s="463">
        <f t="shared" si="20"/>
        <v>0</v>
      </c>
      <c r="AA106" s="463">
        <f t="shared" si="20"/>
        <v>0</v>
      </c>
      <c r="AB106" s="463">
        <f t="shared" si="20"/>
        <v>0</v>
      </c>
      <c r="AC106" s="463">
        <f t="shared" si="20"/>
        <v>0</v>
      </c>
      <c r="AD106" s="463">
        <f t="shared" si="20"/>
        <v>0</v>
      </c>
      <c r="AE106" s="463">
        <f t="shared" si="20"/>
        <v>0</v>
      </c>
      <c r="AF106" s="621">
        <f t="shared" si="20"/>
        <v>0</v>
      </c>
      <c r="AG106" s="573"/>
      <c r="AH106" s="464"/>
      <c r="AI106" s="464"/>
      <c r="AJ106" s="464"/>
      <c r="AK106" s="464"/>
      <c r="AL106" s="465"/>
      <c r="AM106" s="463"/>
      <c r="AN106" s="464"/>
      <c r="AO106" s="464"/>
      <c r="AP106" s="464"/>
      <c r="AQ106" s="464"/>
      <c r="AR106" s="465"/>
      <c r="AS106" s="463"/>
      <c r="AT106" s="464"/>
      <c r="AU106" s="464"/>
      <c r="AV106" s="464"/>
      <c r="AW106" s="464"/>
      <c r="AX106" s="465"/>
      <c r="AY106" s="463"/>
      <c r="AZ106" s="464"/>
      <c r="BA106" s="464"/>
      <c r="BB106" s="464"/>
      <c r="BC106" s="464"/>
      <c r="BD106" s="465"/>
      <c r="BE106" s="463"/>
      <c r="BF106" s="464"/>
      <c r="BG106" s="464"/>
      <c r="BH106" s="464"/>
      <c r="BI106" s="464"/>
      <c r="BJ106" s="466"/>
    </row>
    <row r="107" spans="5:62" s="467" customFormat="1" ht="16.5" hidden="1" customHeight="1">
      <c r="E107" s="454" t="s">
        <v>1214</v>
      </c>
      <c r="F107" s="455"/>
      <c r="G107" s="456"/>
      <c r="H107" s="457"/>
      <c r="I107" s="458" t="s">
        <v>1200</v>
      </c>
      <c r="J107" s="566"/>
      <c r="K107" s="571" t="s">
        <v>1179</v>
      </c>
      <c r="L107" s="460" t="s">
        <v>1190</v>
      </c>
      <c r="M107" s="463">
        <f t="shared" si="19"/>
        <v>0</v>
      </c>
      <c r="N107" s="463">
        <f t="shared" si="19"/>
        <v>0</v>
      </c>
      <c r="O107" s="463">
        <f t="shared" si="19"/>
        <v>0</v>
      </c>
      <c r="P107" s="463">
        <f t="shared" si="19"/>
        <v>0</v>
      </c>
      <c r="Q107" s="463">
        <f t="shared" si="19"/>
        <v>0</v>
      </c>
      <c r="R107" s="463">
        <f t="shared" si="19"/>
        <v>0</v>
      </c>
      <c r="S107" s="463">
        <f t="shared" si="19"/>
        <v>0</v>
      </c>
      <c r="T107" s="463">
        <f t="shared" si="19"/>
        <v>0</v>
      </c>
      <c r="U107" s="463">
        <f t="shared" si="19"/>
        <v>0</v>
      </c>
      <c r="V107" s="463">
        <f t="shared" si="19"/>
        <v>1</v>
      </c>
      <c r="W107" s="463">
        <f t="shared" si="19"/>
        <v>0</v>
      </c>
      <c r="X107" s="463">
        <f t="shared" si="20"/>
        <v>0</v>
      </c>
      <c r="Y107" s="463">
        <f t="shared" si="20"/>
        <v>0</v>
      </c>
      <c r="Z107" s="463">
        <f t="shared" si="20"/>
        <v>0</v>
      </c>
      <c r="AA107" s="463">
        <f t="shared" si="20"/>
        <v>0</v>
      </c>
      <c r="AB107" s="463">
        <f t="shared" si="20"/>
        <v>0</v>
      </c>
      <c r="AC107" s="463">
        <f t="shared" si="20"/>
        <v>0</v>
      </c>
      <c r="AD107" s="463">
        <f t="shared" si="20"/>
        <v>0</v>
      </c>
      <c r="AE107" s="463">
        <f t="shared" si="20"/>
        <v>0</v>
      </c>
      <c r="AF107" s="621">
        <f t="shared" si="20"/>
        <v>0</v>
      </c>
      <c r="AG107" s="573"/>
      <c r="AH107" s="464"/>
      <c r="AI107" s="464"/>
      <c r="AJ107" s="464"/>
      <c r="AK107" s="464"/>
      <c r="AL107" s="465"/>
      <c r="AM107" s="463"/>
      <c r="AN107" s="464"/>
      <c r="AO107" s="464"/>
      <c r="AP107" s="464"/>
      <c r="AQ107" s="464"/>
      <c r="AR107" s="465"/>
      <c r="AS107" s="463"/>
      <c r="AT107" s="464"/>
      <c r="AU107" s="464"/>
      <c r="AV107" s="464"/>
      <c r="AW107" s="464"/>
      <c r="AX107" s="465"/>
      <c r="AY107" s="463"/>
      <c r="AZ107" s="464"/>
      <c r="BA107" s="464"/>
      <c r="BB107" s="464"/>
      <c r="BC107" s="464"/>
      <c r="BD107" s="465"/>
      <c r="BE107" s="463"/>
      <c r="BF107" s="464"/>
      <c r="BG107" s="464"/>
      <c r="BH107" s="464"/>
      <c r="BI107" s="464"/>
      <c r="BJ107" s="466"/>
    </row>
    <row r="108" spans="5:62" s="467" customFormat="1" ht="16.5" hidden="1" customHeight="1">
      <c r="E108" s="454" t="s">
        <v>1214</v>
      </c>
      <c r="F108" s="455"/>
      <c r="G108" s="456"/>
      <c r="H108" s="457"/>
      <c r="I108" s="458" t="s">
        <v>1193</v>
      </c>
      <c r="J108" s="566" t="s">
        <v>1192</v>
      </c>
      <c r="K108" s="571">
        <v>150</v>
      </c>
      <c r="L108" s="460" t="s">
        <v>1188</v>
      </c>
      <c r="M108" s="463">
        <f t="shared" si="19"/>
        <v>0</v>
      </c>
      <c r="N108" s="463">
        <f t="shared" si="19"/>
        <v>1</v>
      </c>
      <c r="O108" s="463">
        <f t="shared" si="19"/>
        <v>0</v>
      </c>
      <c r="P108" s="463">
        <f t="shared" si="19"/>
        <v>0</v>
      </c>
      <c r="Q108" s="463">
        <f t="shared" si="19"/>
        <v>0</v>
      </c>
      <c r="R108" s="463">
        <f t="shared" si="19"/>
        <v>0</v>
      </c>
      <c r="S108" s="463">
        <f t="shared" si="19"/>
        <v>0</v>
      </c>
      <c r="T108" s="463">
        <f t="shared" si="19"/>
        <v>0</v>
      </c>
      <c r="U108" s="463">
        <f t="shared" si="19"/>
        <v>0</v>
      </c>
      <c r="V108" s="463">
        <f t="shared" si="19"/>
        <v>0</v>
      </c>
      <c r="W108" s="463">
        <f t="shared" si="19"/>
        <v>0</v>
      </c>
      <c r="X108" s="463">
        <f t="shared" si="20"/>
        <v>0</v>
      </c>
      <c r="Y108" s="463">
        <f t="shared" si="20"/>
        <v>0</v>
      </c>
      <c r="Z108" s="463">
        <f t="shared" si="20"/>
        <v>0</v>
      </c>
      <c r="AA108" s="463">
        <f t="shared" si="20"/>
        <v>0</v>
      </c>
      <c r="AB108" s="463">
        <f t="shared" si="20"/>
        <v>0</v>
      </c>
      <c r="AC108" s="463">
        <f t="shared" si="20"/>
        <v>0</v>
      </c>
      <c r="AD108" s="463">
        <f t="shared" si="20"/>
        <v>0</v>
      </c>
      <c r="AE108" s="463">
        <f t="shared" si="20"/>
        <v>0</v>
      </c>
      <c r="AF108" s="621">
        <f t="shared" si="20"/>
        <v>0</v>
      </c>
      <c r="AG108" s="573"/>
      <c r="AH108" s="464"/>
      <c r="AI108" s="464"/>
      <c r="AJ108" s="464"/>
      <c r="AK108" s="464"/>
      <c r="AL108" s="465"/>
      <c r="AM108" s="463"/>
      <c r="AN108" s="464"/>
      <c r="AO108" s="464"/>
      <c r="AP108" s="464"/>
      <c r="AQ108" s="464"/>
      <c r="AR108" s="465"/>
      <c r="AS108" s="463"/>
      <c r="AT108" s="464"/>
      <c r="AU108" s="464"/>
      <c r="AV108" s="464"/>
      <c r="AW108" s="464"/>
      <c r="AX108" s="465"/>
      <c r="AY108" s="463"/>
      <c r="AZ108" s="464"/>
      <c r="BA108" s="464"/>
      <c r="BB108" s="464"/>
      <c r="BC108" s="464"/>
      <c r="BD108" s="465"/>
      <c r="BE108" s="463"/>
      <c r="BF108" s="464"/>
      <c r="BG108" s="464"/>
      <c r="BH108" s="464"/>
      <c r="BI108" s="464"/>
      <c r="BJ108" s="466"/>
    </row>
    <row r="109" spans="5:62" s="467" customFormat="1" ht="16.5" hidden="1" customHeight="1">
      <c r="E109" s="454" t="s">
        <v>1214</v>
      </c>
      <c r="F109" s="455"/>
      <c r="G109" s="456"/>
      <c r="H109" s="457"/>
      <c r="I109" s="458" t="s">
        <v>1193</v>
      </c>
      <c r="J109" s="566" t="s">
        <v>1192</v>
      </c>
      <c r="K109" s="571">
        <v>150</v>
      </c>
      <c r="L109" s="460" t="s">
        <v>1188</v>
      </c>
      <c r="M109" s="463">
        <f t="shared" si="19"/>
        <v>0</v>
      </c>
      <c r="N109" s="463">
        <f t="shared" si="19"/>
        <v>1</v>
      </c>
      <c r="O109" s="463">
        <f t="shared" si="19"/>
        <v>0</v>
      </c>
      <c r="P109" s="463">
        <f t="shared" si="19"/>
        <v>0</v>
      </c>
      <c r="Q109" s="463">
        <f t="shared" si="19"/>
        <v>0</v>
      </c>
      <c r="R109" s="463">
        <f t="shared" si="19"/>
        <v>0</v>
      </c>
      <c r="S109" s="463">
        <f t="shared" si="19"/>
        <v>0</v>
      </c>
      <c r="T109" s="463">
        <f t="shared" si="19"/>
        <v>0</v>
      </c>
      <c r="U109" s="463">
        <f t="shared" si="19"/>
        <v>0</v>
      </c>
      <c r="V109" s="463">
        <f t="shared" si="19"/>
        <v>0</v>
      </c>
      <c r="W109" s="463">
        <f t="shared" si="19"/>
        <v>0</v>
      </c>
      <c r="X109" s="463">
        <f t="shared" si="20"/>
        <v>0</v>
      </c>
      <c r="Y109" s="463">
        <f t="shared" si="20"/>
        <v>0</v>
      </c>
      <c r="Z109" s="463">
        <f t="shared" si="20"/>
        <v>0</v>
      </c>
      <c r="AA109" s="463">
        <f t="shared" si="20"/>
        <v>0</v>
      </c>
      <c r="AB109" s="463">
        <f t="shared" si="20"/>
        <v>0</v>
      </c>
      <c r="AC109" s="463">
        <f t="shared" si="20"/>
        <v>0</v>
      </c>
      <c r="AD109" s="463">
        <f t="shared" si="20"/>
        <v>0</v>
      </c>
      <c r="AE109" s="463">
        <f t="shared" si="20"/>
        <v>0</v>
      </c>
      <c r="AF109" s="621">
        <f t="shared" si="20"/>
        <v>0</v>
      </c>
      <c r="AG109" s="573"/>
      <c r="AH109" s="464"/>
      <c r="AI109" s="464"/>
      <c r="AJ109" s="464"/>
      <c r="AK109" s="464"/>
      <c r="AL109" s="465"/>
      <c r="AM109" s="463"/>
      <c r="AN109" s="464"/>
      <c r="AO109" s="464"/>
      <c r="AP109" s="464"/>
      <c r="AQ109" s="464"/>
      <c r="AR109" s="465"/>
      <c r="AS109" s="463"/>
      <c r="AT109" s="464"/>
      <c r="AU109" s="464"/>
      <c r="AV109" s="464"/>
      <c r="AW109" s="464"/>
      <c r="AX109" s="465"/>
      <c r="AY109" s="463"/>
      <c r="AZ109" s="464"/>
      <c r="BA109" s="464"/>
      <c r="BB109" s="464"/>
      <c r="BC109" s="464"/>
      <c r="BD109" s="465"/>
      <c r="BE109" s="463"/>
      <c r="BF109" s="464"/>
      <c r="BG109" s="464"/>
      <c r="BH109" s="464"/>
      <c r="BI109" s="464"/>
      <c r="BJ109" s="466"/>
    </row>
    <row r="110" spans="5:62" s="467" customFormat="1" ht="16.5" hidden="1" customHeight="1">
      <c r="E110" s="454" t="s">
        <v>1214</v>
      </c>
      <c r="F110" s="455"/>
      <c r="G110" s="456"/>
      <c r="H110" s="457"/>
      <c r="I110" s="458" t="s">
        <v>1194</v>
      </c>
      <c r="J110" s="566" t="s">
        <v>1192</v>
      </c>
      <c r="K110" s="571">
        <v>250</v>
      </c>
      <c r="L110" s="460" t="s">
        <v>1188</v>
      </c>
      <c r="M110" s="463">
        <f t="shared" si="19"/>
        <v>0</v>
      </c>
      <c r="N110" s="463">
        <f t="shared" si="19"/>
        <v>0</v>
      </c>
      <c r="O110" s="463">
        <f t="shared" si="19"/>
        <v>0</v>
      </c>
      <c r="P110" s="463">
        <f t="shared" si="19"/>
        <v>1</v>
      </c>
      <c r="Q110" s="463">
        <f t="shared" si="19"/>
        <v>0</v>
      </c>
      <c r="R110" s="463">
        <f t="shared" si="19"/>
        <v>0</v>
      </c>
      <c r="S110" s="463">
        <f t="shared" si="19"/>
        <v>0</v>
      </c>
      <c r="T110" s="463">
        <f t="shared" si="19"/>
        <v>0</v>
      </c>
      <c r="U110" s="463">
        <f t="shared" si="19"/>
        <v>0</v>
      </c>
      <c r="V110" s="463">
        <f t="shared" si="19"/>
        <v>0</v>
      </c>
      <c r="W110" s="463">
        <f t="shared" si="19"/>
        <v>0</v>
      </c>
      <c r="X110" s="463">
        <f t="shared" si="20"/>
        <v>0</v>
      </c>
      <c r="Y110" s="463">
        <f t="shared" si="20"/>
        <v>0</v>
      </c>
      <c r="Z110" s="463">
        <f t="shared" si="20"/>
        <v>0</v>
      </c>
      <c r="AA110" s="463">
        <f t="shared" si="20"/>
        <v>0</v>
      </c>
      <c r="AB110" s="463">
        <f t="shared" si="20"/>
        <v>0</v>
      </c>
      <c r="AC110" s="463">
        <f t="shared" si="20"/>
        <v>0</v>
      </c>
      <c r="AD110" s="463">
        <f t="shared" si="20"/>
        <v>0</v>
      </c>
      <c r="AE110" s="463">
        <f t="shared" si="20"/>
        <v>0</v>
      </c>
      <c r="AF110" s="621">
        <f t="shared" si="20"/>
        <v>0</v>
      </c>
      <c r="AG110" s="573"/>
      <c r="AH110" s="464"/>
      <c r="AI110" s="464"/>
      <c r="AJ110" s="464"/>
      <c r="AK110" s="464"/>
      <c r="AL110" s="465"/>
      <c r="AM110" s="463"/>
      <c r="AN110" s="464"/>
      <c r="AO110" s="464"/>
      <c r="AP110" s="464"/>
      <c r="AQ110" s="464"/>
      <c r="AR110" s="465"/>
      <c r="AS110" s="463"/>
      <c r="AT110" s="464"/>
      <c r="AU110" s="464"/>
      <c r="AV110" s="464"/>
      <c r="AW110" s="464"/>
      <c r="AX110" s="465"/>
      <c r="AY110" s="463"/>
      <c r="AZ110" s="464"/>
      <c r="BA110" s="464"/>
      <c r="BB110" s="464"/>
      <c r="BC110" s="464"/>
      <c r="BD110" s="465"/>
      <c r="BE110" s="463"/>
      <c r="BF110" s="464"/>
      <c r="BG110" s="464"/>
      <c r="BH110" s="464"/>
      <c r="BI110" s="464"/>
      <c r="BJ110" s="466"/>
    </row>
    <row r="111" spans="5:62" s="434" customFormat="1" ht="15" hidden="1" customHeight="1">
      <c r="E111" s="454" t="s">
        <v>1214</v>
      </c>
      <c r="F111" s="455"/>
      <c r="G111" s="456"/>
      <c r="H111" s="457"/>
      <c r="I111" s="458" t="s">
        <v>1210</v>
      </c>
      <c r="J111" s="566"/>
      <c r="K111" s="459"/>
      <c r="L111" s="460"/>
      <c r="M111" s="463">
        <f t="shared" si="19"/>
        <v>0</v>
      </c>
      <c r="N111" s="463">
        <f t="shared" si="19"/>
        <v>0</v>
      </c>
      <c r="O111" s="463">
        <f t="shared" si="19"/>
        <v>0</v>
      </c>
      <c r="P111" s="463">
        <f t="shared" si="19"/>
        <v>0</v>
      </c>
      <c r="Q111" s="463">
        <f t="shared" si="19"/>
        <v>0</v>
      </c>
      <c r="R111" s="463">
        <f t="shared" si="19"/>
        <v>0</v>
      </c>
      <c r="S111" s="463">
        <v>31</v>
      </c>
      <c r="T111" s="463">
        <f t="shared" si="19"/>
        <v>0</v>
      </c>
      <c r="U111" s="463">
        <f t="shared" si="19"/>
        <v>0</v>
      </c>
      <c r="V111" s="463">
        <f t="shared" si="19"/>
        <v>0</v>
      </c>
      <c r="W111" s="463">
        <f t="shared" si="19"/>
        <v>0</v>
      </c>
      <c r="X111" s="463">
        <f t="shared" si="20"/>
        <v>0</v>
      </c>
      <c r="Y111" s="463">
        <f t="shared" si="20"/>
        <v>0</v>
      </c>
      <c r="Z111" s="463">
        <f t="shared" si="20"/>
        <v>0</v>
      </c>
      <c r="AA111" s="463">
        <f t="shared" si="20"/>
        <v>0</v>
      </c>
      <c r="AB111" s="463">
        <f t="shared" si="20"/>
        <v>0</v>
      </c>
      <c r="AC111" s="463">
        <f t="shared" si="20"/>
        <v>0</v>
      </c>
      <c r="AD111" s="463">
        <f t="shared" si="20"/>
        <v>0</v>
      </c>
      <c r="AE111" s="463">
        <f t="shared" si="20"/>
        <v>0</v>
      </c>
      <c r="AF111" s="621">
        <f t="shared" si="20"/>
        <v>0</v>
      </c>
      <c r="AG111" s="573"/>
      <c r="AH111" s="464"/>
      <c r="AI111" s="464"/>
      <c r="AJ111" s="464"/>
      <c r="AK111" s="464"/>
      <c r="AL111" s="465"/>
      <c r="AM111" s="463"/>
      <c r="AN111" s="464"/>
      <c r="AO111" s="464"/>
      <c r="AP111" s="464"/>
      <c r="AQ111" s="575"/>
      <c r="AR111" s="576"/>
      <c r="AS111" s="577"/>
      <c r="AT111" s="575"/>
      <c r="AU111" s="575"/>
      <c r="AV111" s="575"/>
      <c r="AW111" s="575"/>
      <c r="AX111" s="576"/>
      <c r="AY111" s="577"/>
      <c r="AZ111" s="575"/>
      <c r="BA111" s="575"/>
      <c r="BB111" s="575"/>
      <c r="BC111" s="575"/>
      <c r="BD111" s="576"/>
      <c r="BE111" s="577"/>
      <c r="BF111" s="575"/>
      <c r="BG111" s="575"/>
      <c r="BH111" s="575"/>
      <c r="BI111" s="575"/>
      <c r="BJ111" s="578"/>
    </row>
    <row r="112" spans="5:62" s="434" customFormat="1" ht="15" hidden="1" customHeight="1">
      <c r="E112" s="454" t="s">
        <v>1214</v>
      </c>
      <c r="F112" s="455"/>
      <c r="G112" s="456"/>
      <c r="H112" s="457"/>
      <c r="I112" s="458" t="s">
        <v>1211</v>
      </c>
      <c r="J112" s="566"/>
      <c r="K112" s="459"/>
      <c r="L112" s="460"/>
      <c r="M112" s="463">
        <f t="shared" si="19"/>
        <v>0</v>
      </c>
      <c r="N112" s="463">
        <f t="shared" si="19"/>
        <v>0</v>
      </c>
      <c r="O112" s="463">
        <f t="shared" si="19"/>
        <v>0</v>
      </c>
      <c r="P112" s="463">
        <f t="shared" si="19"/>
        <v>0</v>
      </c>
      <c r="Q112" s="463">
        <f t="shared" si="19"/>
        <v>0</v>
      </c>
      <c r="R112" s="463">
        <f t="shared" si="19"/>
        <v>0</v>
      </c>
      <c r="S112" s="463">
        <f t="shared" si="19"/>
        <v>0</v>
      </c>
      <c r="T112" s="463">
        <v>29</v>
      </c>
      <c r="U112" s="463">
        <f t="shared" si="19"/>
        <v>0</v>
      </c>
      <c r="V112" s="463">
        <f t="shared" si="19"/>
        <v>0</v>
      </c>
      <c r="W112" s="463">
        <f t="shared" si="19"/>
        <v>0</v>
      </c>
      <c r="X112" s="463">
        <f t="shared" si="20"/>
        <v>0</v>
      </c>
      <c r="Y112" s="463">
        <f t="shared" si="20"/>
        <v>0</v>
      </c>
      <c r="Z112" s="463">
        <f t="shared" si="20"/>
        <v>0</v>
      </c>
      <c r="AA112" s="463">
        <f t="shared" si="20"/>
        <v>0</v>
      </c>
      <c r="AB112" s="463">
        <f t="shared" si="20"/>
        <v>0</v>
      </c>
      <c r="AC112" s="463">
        <f t="shared" si="20"/>
        <v>0</v>
      </c>
      <c r="AD112" s="463">
        <f t="shared" si="20"/>
        <v>0</v>
      </c>
      <c r="AE112" s="463">
        <f t="shared" si="20"/>
        <v>0</v>
      </c>
      <c r="AF112" s="621">
        <f t="shared" si="20"/>
        <v>0</v>
      </c>
      <c r="AG112" s="573"/>
      <c r="AH112" s="464"/>
      <c r="AI112" s="464"/>
      <c r="AJ112" s="464"/>
      <c r="AK112" s="464"/>
      <c r="AL112" s="465"/>
      <c r="AM112" s="463"/>
      <c r="AN112" s="464"/>
      <c r="AO112" s="464"/>
      <c r="AP112" s="464"/>
      <c r="AQ112" s="575"/>
      <c r="AR112" s="576"/>
      <c r="AS112" s="577"/>
      <c r="AT112" s="575"/>
      <c r="AU112" s="575"/>
      <c r="AV112" s="575"/>
      <c r="AW112" s="575"/>
      <c r="AX112" s="576"/>
      <c r="AY112" s="577"/>
      <c r="AZ112" s="575"/>
      <c r="BA112" s="575"/>
      <c r="BB112" s="575"/>
      <c r="BC112" s="575"/>
      <c r="BD112" s="576"/>
      <c r="BE112" s="577"/>
      <c r="BF112" s="575"/>
      <c r="BG112" s="575"/>
      <c r="BH112" s="575"/>
      <c r="BI112" s="575"/>
      <c r="BJ112" s="578"/>
    </row>
    <row r="113" spans="5:62" s="467" customFormat="1" ht="16.5" hidden="1" customHeight="1">
      <c r="E113" s="454" t="s">
        <v>1214</v>
      </c>
      <c r="F113" s="455"/>
      <c r="G113" s="456"/>
      <c r="H113" s="457"/>
      <c r="I113" s="458" t="s">
        <v>1209</v>
      </c>
      <c r="J113" s="566"/>
      <c r="K113" s="571" t="s">
        <v>1204</v>
      </c>
      <c r="L113" s="460" t="s">
        <v>1191</v>
      </c>
      <c r="M113" s="463">
        <f t="shared" si="19"/>
        <v>0</v>
      </c>
      <c r="N113" s="463">
        <f t="shared" si="19"/>
        <v>0</v>
      </c>
      <c r="O113" s="463">
        <f t="shared" si="19"/>
        <v>0</v>
      </c>
      <c r="P113" s="463">
        <f t="shared" si="19"/>
        <v>0</v>
      </c>
      <c r="Q113" s="463">
        <f t="shared" si="19"/>
        <v>0</v>
      </c>
      <c r="R113" s="463">
        <f t="shared" si="19"/>
        <v>0</v>
      </c>
      <c r="S113" s="463">
        <f t="shared" si="19"/>
        <v>0</v>
      </c>
      <c r="T113" s="463">
        <f t="shared" si="19"/>
        <v>0</v>
      </c>
      <c r="U113" s="463">
        <f t="shared" si="19"/>
        <v>0</v>
      </c>
      <c r="V113" s="463">
        <f t="shared" si="19"/>
        <v>0</v>
      </c>
      <c r="W113" s="463">
        <f t="shared" si="19"/>
        <v>0</v>
      </c>
      <c r="X113" s="463">
        <f t="shared" si="20"/>
        <v>0</v>
      </c>
      <c r="Y113" s="463">
        <f t="shared" si="20"/>
        <v>0</v>
      </c>
      <c r="Z113" s="463">
        <f t="shared" si="20"/>
        <v>0</v>
      </c>
      <c r="AA113" s="463">
        <f t="shared" si="20"/>
        <v>0</v>
      </c>
      <c r="AB113" s="463">
        <f t="shared" si="20"/>
        <v>1</v>
      </c>
      <c r="AC113" s="463">
        <f t="shared" si="20"/>
        <v>0</v>
      </c>
      <c r="AD113" s="463">
        <f t="shared" si="20"/>
        <v>0</v>
      </c>
      <c r="AE113" s="463">
        <f t="shared" si="20"/>
        <v>0</v>
      </c>
      <c r="AF113" s="621">
        <f t="shared" si="20"/>
        <v>0</v>
      </c>
      <c r="AG113" s="573"/>
      <c r="AH113" s="464"/>
      <c r="AI113" s="464"/>
      <c r="AJ113" s="464"/>
      <c r="AK113" s="464"/>
      <c r="AL113" s="465"/>
      <c r="AM113" s="463"/>
      <c r="AN113" s="464"/>
      <c r="AO113" s="464"/>
      <c r="AP113" s="464"/>
      <c r="AQ113" s="464"/>
      <c r="AR113" s="465"/>
      <c r="AS113" s="463"/>
      <c r="AT113" s="464"/>
      <c r="AU113" s="464"/>
      <c r="AV113" s="464"/>
      <c r="AW113" s="464"/>
      <c r="AX113" s="465"/>
      <c r="AY113" s="463"/>
      <c r="AZ113" s="464"/>
      <c r="BA113" s="464"/>
      <c r="BB113" s="464"/>
      <c r="BC113" s="464"/>
      <c r="BD113" s="465"/>
      <c r="BE113" s="463"/>
      <c r="BF113" s="464"/>
      <c r="BG113" s="464"/>
      <c r="BH113" s="464"/>
      <c r="BI113" s="464"/>
      <c r="BJ113" s="466"/>
    </row>
    <row r="114" spans="5:62" s="467" customFormat="1" ht="16.5" hidden="1" customHeight="1">
      <c r="E114" s="454" t="s">
        <v>1214</v>
      </c>
      <c r="F114" s="455"/>
      <c r="G114" s="456"/>
      <c r="H114" s="457"/>
      <c r="I114" s="458" t="s">
        <v>1209</v>
      </c>
      <c r="J114" s="566"/>
      <c r="K114" s="571" t="s">
        <v>1204</v>
      </c>
      <c r="L114" s="460" t="s">
        <v>1191</v>
      </c>
      <c r="M114" s="463">
        <f t="shared" si="19"/>
        <v>0</v>
      </c>
      <c r="N114" s="463">
        <f t="shared" si="19"/>
        <v>0</v>
      </c>
      <c r="O114" s="463">
        <f t="shared" si="19"/>
        <v>0</v>
      </c>
      <c r="P114" s="463">
        <f t="shared" si="19"/>
        <v>0</v>
      </c>
      <c r="Q114" s="463">
        <f t="shared" si="19"/>
        <v>0</v>
      </c>
      <c r="R114" s="463">
        <f t="shared" si="19"/>
        <v>0</v>
      </c>
      <c r="S114" s="463">
        <f t="shared" si="19"/>
        <v>0</v>
      </c>
      <c r="T114" s="463">
        <f t="shared" si="19"/>
        <v>0</v>
      </c>
      <c r="U114" s="463">
        <f t="shared" si="19"/>
        <v>0</v>
      </c>
      <c r="V114" s="463">
        <f t="shared" si="19"/>
        <v>0</v>
      </c>
      <c r="W114" s="463">
        <f t="shared" si="19"/>
        <v>0</v>
      </c>
      <c r="X114" s="463">
        <f t="shared" si="20"/>
        <v>0</v>
      </c>
      <c r="Y114" s="463">
        <f t="shared" si="20"/>
        <v>0</v>
      </c>
      <c r="Z114" s="463">
        <f t="shared" si="20"/>
        <v>0</v>
      </c>
      <c r="AA114" s="463">
        <f t="shared" si="20"/>
        <v>0</v>
      </c>
      <c r="AB114" s="463">
        <f t="shared" si="20"/>
        <v>1</v>
      </c>
      <c r="AC114" s="463">
        <f t="shared" si="20"/>
        <v>0</v>
      </c>
      <c r="AD114" s="463">
        <f t="shared" si="20"/>
        <v>0</v>
      </c>
      <c r="AE114" s="463">
        <f t="shared" si="20"/>
        <v>0</v>
      </c>
      <c r="AF114" s="621">
        <f t="shared" si="20"/>
        <v>0</v>
      </c>
      <c r="AG114" s="573"/>
      <c r="AH114" s="464"/>
      <c r="AI114" s="464"/>
      <c r="AJ114" s="464"/>
      <c r="AK114" s="464"/>
      <c r="AL114" s="465"/>
      <c r="AM114" s="463"/>
      <c r="AN114" s="464"/>
      <c r="AO114" s="464"/>
      <c r="AP114" s="464"/>
      <c r="AQ114" s="464"/>
      <c r="AR114" s="465"/>
      <c r="AS114" s="463"/>
      <c r="AT114" s="464"/>
      <c r="AU114" s="464"/>
      <c r="AV114" s="464"/>
      <c r="AW114" s="464"/>
      <c r="AX114" s="465"/>
      <c r="AY114" s="463"/>
      <c r="AZ114" s="464"/>
      <c r="BA114" s="464"/>
      <c r="BB114" s="464"/>
      <c r="BC114" s="464"/>
      <c r="BD114" s="465"/>
      <c r="BE114" s="463"/>
      <c r="BF114" s="464"/>
      <c r="BG114" s="464"/>
      <c r="BH114" s="464"/>
      <c r="BI114" s="464"/>
      <c r="BJ114" s="466"/>
    </row>
    <row r="115" spans="5:62" s="467" customFormat="1" ht="16.5" hidden="1" customHeight="1">
      <c r="E115" s="454" t="s">
        <v>1214</v>
      </c>
      <c r="F115" s="455"/>
      <c r="G115" s="456"/>
      <c r="H115" s="457"/>
      <c r="I115" s="458" t="s">
        <v>1209</v>
      </c>
      <c r="J115" s="566"/>
      <c r="K115" s="571" t="s">
        <v>1204</v>
      </c>
      <c r="L115" s="460" t="s">
        <v>1191</v>
      </c>
      <c r="M115" s="463">
        <f t="shared" si="19"/>
        <v>0</v>
      </c>
      <c r="N115" s="463">
        <f t="shared" si="19"/>
        <v>0</v>
      </c>
      <c r="O115" s="463">
        <f t="shared" si="19"/>
        <v>0</v>
      </c>
      <c r="P115" s="463">
        <f t="shared" si="19"/>
        <v>0</v>
      </c>
      <c r="Q115" s="463">
        <f t="shared" si="19"/>
        <v>0</v>
      </c>
      <c r="R115" s="463">
        <f t="shared" si="19"/>
        <v>0</v>
      </c>
      <c r="S115" s="463">
        <f t="shared" si="19"/>
        <v>0</v>
      </c>
      <c r="T115" s="463">
        <f t="shared" si="19"/>
        <v>0</v>
      </c>
      <c r="U115" s="463">
        <f t="shared" si="19"/>
        <v>0</v>
      </c>
      <c r="V115" s="463">
        <f t="shared" si="19"/>
        <v>0</v>
      </c>
      <c r="W115" s="463">
        <f t="shared" si="19"/>
        <v>0</v>
      </c>
      <c r="X115" s="463">
        <f t="shared" si="20"/>
        <v>0</v>
      </c>
      <c r="Y115" s="463">
        <f t="shared" si="20"/>
        <v>0</v>
      </c>
      <c r="Z115" s="463">
        <f t="shared" si="20"/>
        <v>0</v>
      </c>
      <c r="AA115" s="463">
        <f t="shared" si="20"/>
        <v>0</v>
      </c>
      <c r="AB115" s="463">
        <f t="shared" si="20"/>
        <v>1</v>
      </c>
      <c r="AC115" s="463">
        <f t="shared" si="20"/>
        <v>0</v>
      </c>
      <c r="AD115" s="463">
        <f t="shared" si="20"/>
        <v>0</v>
      </c>
      <c r="AE115" s="463">
        <f t="shared" si="20"/>
        <v>0</v>
      </c>
      <c r="AF115" s="621">
        <f t="shared" si="20"/>
        <v>0</v>
      </c>
      <c r="AG115" s="573"/>
      <c r="AH115" s="464"/>
      <c r="AI115" s="464"/>
      <c r="AJ115" s="464"/>
      <c r="AK115" s="464"/>
      <c r="AL115" s="465"/>
      <c r="AM115" s="463"/>
      <c r="AN115" s="464"/>
      <c r="AO115" s="464"/>
      <c r="AP115" s="464"/>
      <c r="AQ115" s="464"/>
      <c r="AR115" s="465"/>
      <c r="AS115" s="463"/>
      <c r="AT115" s="464"/>
      <c r="AU115" s="464"/>
      <c r="AV115" s="464"/>
      <c r="AW115" s="464"/>
      <c r="AX115" s="465"/>
      <c r="AY115" s="463"/>
      <c r="AZ115" s="464"/>
      <c r="BA115" s="464"/>
      <c r="BB115" s="464"/>
      <c r="BC115" s="464"/>
      <c r="BD115" s="465"/>
      <c r="BE115" s="463"/>
      <c r="BF115" s="464"/>
      <c r="BG115" s="464"/>
      <c r="BH115" s="464"/>
      <c r="BI115" s="464"/>
      <c r="BJ115" s="466"/>
    </row>
    <row r="116" spans="5:62" s="467" customFormat="1" ht="16.5" hidden="1" customHeight="1">
      <c r="E116" s="454" t="s">
        <v>1214</v>
      </c>
      <c r="F116" s="455"/>
      <c r="G116" s="456"/>
      <c r="H116" s="457"/>
      <c r="I116" s="458" t="s">
        <v>1209</v>
      </c>
      <c r="J116" s="566"/>
      <c r="K116" s="571" t="s">
        <v>1204</v>
      </c>
      <c r="L116" s="460" t="s">
        <v>1191</v>
      </c>
      <c r="M116" s="463">
        <f t="shared" si="19"/>
        <v>0</v>
      </c>
      <c r="N116" s="463">
        <f t="shared" si="19"/>
        <v>0</v>
      </c>
      <c r="O116" s="463">
        <f t="shared" si="19"/>
        <v>0</v>
      </c>
      <c r="P116" s="463">
        <f t="shared" si="19"/>
        <v>0</v>
      </c>
      <c r="Q116" s="463">
        <f t="shared" si="19"/>
        <v>0</v>
      </c>
      <c r="R116" s="463">
        <f t="shared" si="19"/>
        <v>0</v>
      </c>
      <c r="S116" s="463">
        <f t="shared" si="19"/>
        <v>0</v>
      </c>
      <c r="T116" s="463">
        <f t="shared" si="19"/>
        <v>0</v>
      </c>
      <c r="U116" s="463">
        <f t="shared" si="19"/>
        <v>0</v>
      </c>
      <c r="V116" s="463">
        <f t="shared" si="19"/>
        <v>0</v>
      </c>
      <c r="W116" s="463">
        <f t="shared" si="19"/>
        <v>0</v>
      </c>
      <c r="X116" s="463">
        <f t="shared" si="20"/>
        <v>0</v>
      </c>
      <c r="Y116" s="463">
        <f t="shared" si="20"/>
        <v>0</v>
      </c>
      <c r="Z116" s="463">
        <f t="shared" si="20"/>
        <v>0</v>
      </c>
      <c r="AA116" s="463">
        <f t="shared" si="20"/>
        <v>0</v>
      </c>
      <c r="AB116" s="463">
        <f t="shared" si="20"/>
        <v>1</v>
      </c>
      <c r="AC116" s="463">
        <f t="shared" si="20"/>
        <v>0</v>
      </c>
      <c r="AD116" s="463">
        <f t="shared" si="20"/>
        <v>0</v>
      </c>
      <c r="AE116" s="463">
        <f t="shared" si="20"/>
        <v>0</v>
      </c>
      <c r="AF116" s="621">
        <f t="shared" si="20"/>
        <v>0</v>
      </c>
      <c r="AG116" s="573"/>
      <c r="AH116" s="464"/>
      <c r="AI116" s="464"/>
      <c r="AJ116" s="464"/>
      <c r="AK116" s="464"/>
      <c r="AL116" s="465"/>
      <c r="AM116" s="463"/>
      <c r="AN116" s="464"/>
      <c r="AO116" s="464"/>
      <c r="AP116" s="464"/>
      <c r="AQ116" s="464"/>
      <c r="AR116" s="465"/>
      <c r="AS116" s="463"/>
      <c r="AT116" s="464"/>
      <c r="AU116" s="464"/>
      <c r="AV116" s="464"/>
      <c r="AW116" s="464"/>
      <c r="AX116" s="465"/>
      <c r="AY116" s="463"/>
      <c r="AZ116" s="464"/>
      <c r="BA116" s="464"/>
      <c r="BB116" s="464"/>
      <c r="BC116" s="464"/>
      <c r="BD116" s="465"/>
      <c r="BE116" s="463"/>
      <c r="BF116" s="464"/>
      <c r="BG116" s="464"/>
      <c r="BH116" s="464"/>
      <c r="BI116" s="464"/>
      <c r="BJ116" s="466"/>
    </row>
    <row r="117" spans="5:62" s="467" customFormat="1" ht="16.5" hidden="1" customHeight="1">
      <c r="E117" s="454" t="s">
        <v>1214</v>
      </c>
      <c r="F117" s="455"/>
      <c r="G117" s="456"/>
      <c r="H117" s="457"/>
      <c r="I117" s="458" t="s">
        <v>1209</v>
      </c>
      <c r="J117" s="566"/>
      <c r="K117" s="571" t="s">
        <v>1204</v>
      </c>
      <c r="L117" s="460" t="s">
        <v>1191</v>
      </c>
      <c r="M117" s="463">
        <f t="shared" si="19"/>
        <v>0</v>
      </c>
      <c r="N117" s="463">
        <f t="shared" si="19"/>
        <v>0</v>
      </c>
      <c r="O117" s="463">
        <f t="shared" si="19"/>
        <v>0</v>
      </c>
      <c r="P117" s="463">
        <f t="shared" si="19"/>
        <v>0</v>
      </c>
      <c r="Q117" s="463">
        <f t="shared" si="19"/>
        <v>0</v>
      </c>
      <c r="R117" s="463">
        <f t="shared" si="19"/>
        <v>0</v>
      </c>
      <c r="S117" s="463">
        <f t="shared" si="19"/>
        <v>0</v>
      </c>
      <c r="T117" s="463">
        <f t="shared" si="19"/>
        <v>0</v>
      </c>
      <c r="U117" s="463">
        <f t="shared" si="19"/>
        <v>0</v>
      </c>
      <c r="V117" s="463">
        <f t="shared" si="19"/>
        <v>0</v>
      </c>
      <c r="W117" s="463">
        <f t="shared" si="19"/>
        <v>0</v>
      </c>
      <c r="X117" s="463">
        <f t="shared" si="20"/>
        <v>0</v>
      </c>
      <c r="Y117" s="463">
        <f t="shared" si="20"/>
        <v>0</v>
      </c>
      <c r="Z117" s="463">
        <f t="shared" si="20"/>
        <v>0</v>
      </c>
      <c r="AA117" s="463">
        <f t="shared" si="20"/>
        <v>0</v>
      </c>
      <c r="AB117" s="463">
        <f t="shared" si="20"/>
        <v>1</v>
      </c>
      <c r="AC117" s="463">
        <f t="shared" si="20"/>
        <v>0</v>
      </c>
      <c r="AD117" s="463">
        <f t="shared" si="20"/>
        <v>0</v>
      </c>
      <c r="AE117" s="463">
        <f t="shared" si="20"/>
        <v>0</v>
      </c>
      <c r="AF117" s="621">
        <f t="shared" si="20"/>
        <v>0</v>
      </c>
      <c r="AG117" s="573"/>
      <c r="AH117" s="464"/>
      <c r="AI117" s="464"/>
      <c r="AJ117" s="464"/>
      <c r="AK117" s="464"/>
      <c r="AL117" s="465"/>
      <c r="AM117" s="463"/>
      <c r="AN117" s="464"/>
      <c r="AO117" s="464"/>
      <c r="AP117" s="464"/>
      <c r="AQ117" s="464"/>
      <c r="AR117" s="465"/>
      <c r="AS117" s="463"/>
      <c r="AT117" s="464"/>
      <c r="AU117" s="464"/>
      <c r="AV117" s="464"/>
      <c r="AW117" s="464"/>
      <c r="AX117" s="465"/>
      <c r="AY117" s="463"/>
      <c r="AZ117" s="464"/>
      <c r="BA117" s="464"/>
      <c r="BB117" s="464"/>
      <c r="BC117" s="464"/>
      <c r="BD117" s="465"/>
      <c r="BE117" s="463"/>
      <c r="BF117" s="464"/>
      <c r="BG117" s="464"/>
      <c r="BH117" s="464"/>
      <c r="BI117" s="464"/>
      <c r="BJ117" s="466"/>
    </row>
    <row r="118" spans="5:62" s="467" customFormat="1" ht="16.5" hidden="1" customHeight="1">
      <c r="E118" s="454" t="s">
        <v>1214</v>
      </c>
      <c r="F118" s="455"/>
      <c r="G118" s="456"/>
      <c r="H118" s="457"/>
      <c r="I118" s="458" t="s">
        <v>1209</v>
      </c>
      <c r="J118" s="566"/>
      <c r="K118" s="571" t="s">
        <v>1204</v>
      </c>
      <c r="L118" s="460" t="s">
        <v>1191</v>
      </c>
      <c r="M118" s="463">
        <f t="shared" si="19"/>
        <v>0</v>
      </c>
      <c r="N118" s="463">
        <f t="shared" si="19"/>
        <v>0</v>
      </c>
      <c r="O118" s="463">
        <f t="shared" si="19"/>
        <v>0</v>
      </c>
      <c r="P118" s="463">
        <f t="shared" si="19"/>
        <v>0</v>
      </c>
      <c r="Q118" s="463">
        <f t="shared" si="19"/>
        <v>0</v>
      </c>
      <c r="R118" s="463">
        <f t="shared" si="19"/>
        <v>0</v>
      </c>
      <c r="S118" s="463">
        <f t="shared" si="19"/>
        <v>0</v>
      </c>
      <c r="T118" s="463">
        <f t="shared" si="19"/>
        <v>0</v>
      </c>
      <c r="U118" s="463">
        <f t="shared" si="19"/>
        <v>0</v>
      </c>
      <c r="V118" s="463">
        <f t="shared" si="19"/>
        <v>0</v>
      </c>
      <c r="W118" s="463">
        <f t="shared" si="19"/>
        <v>0</v>
      </c>
      <c r="X118" s="463">
        <f t="shared" si="20"/>
        <v>0</v>
      </c>
      <c r="Y118" s="463">
        <f t="shared" si="20"/>
        <v>0</v>
      </c>
      <c r="Z118" s="463">
        <f t="shared" si="20"/>
        <v>0</v>
      </c>
      <c r="AA118" s="463">
        <f t="shared" si="20"/>
        <v>0</v>
      </c>
      <c r="AB118" s="463">
        <f t="shared" si="20"/>
        <v>1</v>
      </c>
      <c r="AC118" s="463">
        <f t="shared" si="20"/>
        <v>0</v>
      </c>
      <c r="AD118" s="463">
        <f t="shared" si="20"/>
        <v>0</v>
      </c>
      <c r="AE118" s="463">
        <f t="shared" si="20"/>
        <v>0</v>
      </c>
      <c r="AF118" s="621">
        <f t="shared" si="20"/>
        <v>0</v>
      </c>
      <c r="AG118" s="573"/>
      <c r="AH118" s="464"/>
      <c r="AI118" s="464"/>
      <c r="AJ118" s="464"/>
      <c r="AK118" s="464"/>
      <c r="AL118" s="465"/>
      <c r="AM118" s="463"/>
      <c r="AN118" s="464"/>
      <c r="AO118" s="464"/>
      <c r="AP118" s="464"/>
      <c r="AQ118" s="464"/>
      <c r="AR118" s="465"/>
      <c r="AS118" s="463"/>
      <c r="AT118" s="464"/>
      <c r="AU118" s="464"/>
      <c r="AV118" s="464"/>
      <c r="AW118" s="464"/>
      <c r="AX118" s="465"/>
      <c r="AY118" s="463"/>
      <c r="AZ118" s="464"/>
      <c r="BA118" s="464"/>
      <c r="BB118" s="464"/>
      <c r="BC118" s="464"/>
      <c r="BD118" s="465"/>
      <c r="BE118" s="463"/>
      <c r="BF118" s="464"/>
      <c r="BG118" s="464"/>
      <c r="BH118" s="464"/>
      <c r="BI118" s="464"/>
      <c r="BJ118" s="466"/>
    </row>
    <row r="119" spans="5:62" s="467" customFormat="1" ht="16.5" hidden="1" customHeight="1">
      <c r="E119" s="454" t="s">
        <v>1214</v>
      </c>
      <c r="F119" s="455"/>
      <c r="G119" s="456"/>
      <c r="H119" s="457"/>
      <c r="I119" s="458" t="s">
        <v>1209</v>
      </c>
      <c r="J119" s="566"/>
      <c r="K119" s="571" t="s">
        <v>1204</v>
      </c>
      <c r="L119" s="460" t="s">
        <v>1191</v>
      </c>
      <c r="M119" s="463">
        <f t="shared" si="19"/>
        <v>0</v>
      </c>
      <c r="N119" s="463">
        <f t="shared" si="19"/>
        <v>0</v>
      </c>
      <c r="O119" s="463">
        <f t="shared" si="19"/>
        <v>0</v>
      </c>
      <c r="P119" s="463">
        <f t="shared" si="19"/>
        <v>0</v>
      </c>
      <c r="Q119" s="463">
        <f t="shared" si="19"/>
        <v>0</v>
      </c>
      <c r="R119" s="463">
        <f t="shared" si="19"/>
        <v>0</v>
      </c>
      <c r="S119" s="463">
        <f t="shared" si="19"/>
        <v>0</v>
      </c>
      <c r="T119" s="463">
        <f t="shared" si="19"/>
        <v>0</v>
      </c>
      <c r="U119" s="463">
        <f t="shared" si="19"/>
        <v>0</v>
      </c>
      <c r="V119" s="463">
        <f t="shared" si="19"/>
        <v>0</v>
      </c>
      <c r="W119" s="463">
        <f t="shared" si="19"/>
        <v>0</v>
      </c>
      <c r="X119" s="463">
        <f t="shared" si="20"/>
        <v>0</v>
      </c>
      <c r="Y119" s="463">
        <f t="shared" si="20"/>
        <v>0</v>
      </c>
      <c r="Z119" s="463">
        <f t="shared" si="20"/>
        <v>0</v>
      </c>
      <c r="AA119" s="463">
        <f t="shared" si="20"/>
        <v>0</v>
      </c>
      <c r="AB119" s="463">
        <f t="shared" si="20"/>
        <v>1</v>
      </c>
      <c r="AC119" s="463">
        <f t="shared" si="20"/>
        <v>0</v>
      </c>
      <c r="AD119" s="463">
        <f t="shared" si="20"/>
        <v>0</v>
      </c>
      <c r="AE119" s="463">
        <f t="shared" si="20"/>
        <v>0</v>
      </c>
      <c r="AF119" s="621">
        <f t="shared" si="20"/>
        <v>0</v>
      </c>
      <c r="AG119" s="573"/>
      <c r="AH119" s="464"/>
      <c r="AI119" s="464"/>
      <c r="AJ119" s="464"/>
      <c r="AK119" s="464"/>
      <c r="AL119" s="465"/>
      <c r="AM119" s="463"/>
      <c r="AN119" s="464"/>
      <c r="AO119" s="464"/>
      <c r="AP119" s="464"/>
      <c r="AQ119" s="464"/>
      <c r="AR119" s="465"/>
      <c r="AS119" s="463"/>
      <c r="AT119" s="464"/>
      <c r="AU119" s="464"/>
      <c r="AV119" s="464"/>
      <c r="AW119" s="464"/>
      <c r="AX119" s="465"/>
      <c r="AY119" s="463"/>
      <c r="AZ119" s="464"/>
      <c r="BA119" s="464"/>
      <c r="BB119" s="464"/>
      <c r="BC119" s="464"/>
      <c r="BD119" s="465"/>
      <c r="BE119" s="463"/>
      <c r="BF119" s="464"/>
      <c r="BG119" s="464"/>
      <c r="BH119" s="464"/>
      <c r="BI119" s="464"/>
      <c r="BJ119" s="466"/>
    </row>
    <row r="120" spans="5:62" s="467" customFormat="1" ht="16.5" hidden="1" customHeight="1">
      <c r="E120" s="454" t="s">
        <v>1214</v>
      </c>
      <c r="F120" s="455"/>
      <c r="G120" s="456"/>
      <c r="H120" s="457"/>
      <c r="I120" s="458" t="s">
        <v>1208</v>
      </c>
      <c r="J120" s="566"/>
      <c r="K120" s="571" t="s">
        <v>1203</v>
      </c>
      <c r="L120" s="460" t="s">
        <v>1191</v>
      </c>
      <c r="M120" s="463">
        <f t="shared" si="19"/>
        <v>0</v>
      </c>
      <c r="N120" s="463">
        <f t="shared" si="19"/>
        <v>0</v>
      </c>
      <c r="O120" s="463">
        <f t="shared" si="19"/>
        <v>0</v>
      </c>
      <c r="P120" s="463">
        <f t="shared" si="19"/>
        <v>0</v>
      </c>
      <c r="Q120" s="463">
        <f t="shared" si="19"/>
        <v>0</v>
      </c>
      <c r="R120" s="463">
        <f t="shared" si="19"/>
        <v>0</v>
      </c>
      <c r="S120" s="463">
        <f t="shared" si="19"/>
        <v>0</v>
      </c>
      <c r="T120" s="463">
        <f t="shared" si="19"/>
        <v>0</v>
      </c>
      <c r="U120" s="463">
        <f t="shared" si="19"/>
        <v>0</v>
      </c>
      <c r="V120" s="463">
        <f t="shared" si="19"/>
        <v>0</v>
      </c>
      <c r="W120" s="463">
        <f t="shared" si="19"/>
        <v>0</v>
      </c>
      <c r="X120" s="463">
        <f t="shared" si="20"/>
        <v>0</v>
      </c>
      <c r="Y120" s="463">
        <f t="shared" si="20"/>
        <v>0</v>
      </c>
      <c r="Z120" s="463">
        <f t="shared" si="20"/>
        <v>0</v>
      </c>
      <c r="AA120" s="463">
        <f t="shared" si="20"/>
        <v>1</v>
      </c>
      <c r="AB120" s="463">
        <f t="shared" si="20"/>
        <v>0</v>
      </c>
      <c r="AC120" s="463">
        <f t="shared" si="20"/>
        <v>0</v>
      </c>
      <c r="AD120" s="463">
        <f t="shared" si="20"/>
        <v>0</v>
      </c>
      <c r="AE120" s="463">
        <f t="shared" si="20"/>
        <v>0</v>
      </c>
      <c r="AF120" s="621">
        <f t="shared" si="20"/>
        <v>0</v>
      </c>
      <c r="AG120" s="573"/>
      <c r="AH120" s="464"/>
      <c r="AI120" s="464"/>
      <c r="AJ120" s="464"/>
      <c r="AK120" s="464"/>
      <c r="AL120" s="465"/>
      <c r="AM120" s="463"/>
      <c r="AN120" s="464"/>
      <c r="AO120" s="464"/>
      <c r="AP120" s="464"/>
      <c r="AQ120" s="464"/>
      <c r="AR120" s="465"/>
      <c r="AS120" s="463"/>
      <c r="AT120" s="464"/>
      <c r="AU120" s="464"/>
      <c r="AV120" s="464"/>
      <c r="AW120" s="464"/>
      <c r="AX120" s="465"/>
      <c r="AY120" s="463"/>
      <c r="AZ120" s="464"/>
      <c r="BA120" s="464"/>
      <c r="BB120" s="464"/>
      <c r="BC120" s="464"/>
      <c r="BD120" s="465"/>
      <c r="BE120" s="463"/>
      <c r="BF120" s="464"/>
      <c r="BG120" s="464"/>
      <c r="BH120" s="464"/>
      <c r="BI120" s="464"/>
      <c r="BJ120" s="466"/>
    </row>
    <row r="121" spans="5:62" s="579" customFormat="1" ht="16.5" hidden="1" customHeight="1">
      <c r="E121" s="435" t="s">
        <v>1103</v>
      </c>
      <c r="F121" s="436"/>
      <c r="G121" s="437"/>
      <c r="H121" s="438" t="str">
        <f>+CONCATENATE(F121,"-",G121)</f>
        <v>-</v>
      </c>
      <c r="I121" s="439"/>
      <c r="J121" s="565"/>
      <c r="K121" s="580"/>
      <c r="L121" s="441"/>
      <c r="M121" s="444">
        <f t="shared" ref="M121:AF121" si="21">SUM(M122:M150)</f>
        <v>1</v>
      </c>
      <c r="N121" s="444">
        <f t="shared" si="21"/>
        <v>4</v>
      </c>
      <c r="O121" s="444">
        <f t="shared" si="21"/>
        <v>5</v>
      </c>
      <c r="P121" s="444">
        <f t="shared" si="21"/>
        <v>1</v>
      </c>
      <c r="Q121" s="444">
        <f t="shared" si="21"/>
        <v>1</v>
      </c>
      <c r="R121" s="444">
        <f t="shared" si="21"/>
        <v>0</v>
      </c>
      <c r="S121" s="444">
        <f t="shared" si="21"/>
        <v>18</v>
      </c>
      <c r="T121" s="444">
        <f t="shared" si="21"/>
        <v>12</v>
      </c>
      <c r="U121" s="444">
        <f t="shared" si="21"/>
        <v>0</v>
      </c>
      <c r="V121" s="444">
        <f t="shared" si="21"/>
        <v>2</v>
      </c>
      <c r="W121" s="444">
        <f t="shared" si="21"/>
        <v>0</v>
      </c>
      <c r="X121" s="444">
        <f t="shared" si="21"/>
        <v>1</v>
      </c>
      <c r="Y121" s="444">
        <f t="shared" si="21"/>
        <v>0</v>
      </c>
      <c r="Z121" s="444">
        <f t="shared" si="21"/>
        <v>0</v>
      </c>
      <c r="AA121" s="444">
        <f t="shared" si="21"/>
        <v>6</v>
      </c>
      <c r="AB121" s="444">
        <f t="shared" si="21"/>
        <v>5</v>
      </c>
      <c r="AC121" s="444">
        <f t="shared" si="21"/>
        <v>0</v>
      </c>
      <c r="AD121" s="444">
        <f t="shared" si="21"/>
        <v>1</v>
      </c>
      <c r="AE121" s="444">
        <f t="shared" si="21"/>
        <v>0</v>
      </c>
      <c r="AF121" s="620">
        <f t="shared" si="21"/>
        <v>0</v>
      </c>
      <c r="AG121" s="619"/>
      <c r="AH121" s="445"/>
      <c r="AI121" s="445"/>
      <c r="AJ121" s="445"/>
      <c r="AK121" s="445"/>
      <c r="AL121" s="446"/>
      <c r="AM121" s="444"/>
      <c r="AN121" s="445"/>
      <c r="AO121" s="445"/>
      <c r="AP121" s="445"/>
      <c r="AQ121" s="445"/>
      <c r="AR121" s="446"/>
      <c r="AS121" s="444"/>
      <c r="AT121" s="445"/>
      <c r="AU121" s="445"/>
      <c r="AV121" s="445"/>
      <c r="AW121" s="445"/>
      <c r="AX121" s="446"/>
      <c r="AY121" s="444"/>
      <c r="AZ121" s="445"/>
      <c r="BA121" s="445"/>
      <c r="BB121" s="445"/>
      <c r="BC121" s="445"/>
      <c r="BD121" s="446"/>
      <c r="BE121" s="444"/>
      <c r="BF121" s="445"/>
      <c r="BG121" s="445"/>
      <c r="BH121" s="445">
        <f>+IF($I121=BH$10,IF($L121=BH$11,#REF!,0),0)</f>
        <v>0</v>
      </c>
      <c r="BI121" s="445">
        <f>+IF($I121=BI$10,IF($L121=BI$11,#REF!,0),0)</f>
        <v>0</v>
      </c>
      <c r="BJ121" s="468">
        <f>+IF($I121=BJ$10,IF($L121=BJ$11,#REF!,0),0)</f>
        <v>0</v>
      </c>
    </row>
    <row r="122" spans="5:62" s="467" customFormat="1" ht="16.5" hidden="1" customHeight="1">
      <c r="E122" s="454" t="s">
        <v>1215</v>
      </c>
      <c r="F122" s="455"/>
      <c r="G122" s="456"/>
      <c r="H122" s="457"/>
      <c r="I122" s="458" t="s">
        <v>1194</v>
      </c>
      <c r="J122" s="566"/>
      <c r="K122" s="571">
        <v>300</v>
      </c>
      <c r="L122" s="460" t="s">
        <v>1188</v>
      </c>
      <c r="M122" s="463">
        <f t="shared" ref="M122:AB141" si="22">+IF($L122=M$10,IF($K122=M$11,1,0),0)</f>
        <v>0</v>
      </c>
      <c r="N122" s="463">
        <f t="shared" si="22"/>
        <v>0</v>
      </c>
      <c r="O122" s="463">
        <f t="shared" si="22"/>
        <v>0</v>
      </c>
      <c r="P122" s="463">
        <f t="shared" si="22"/>
        <v>0</v>
      </c>
      <c r="Q122" s="463">
        <f t="shared" si="22"/>
        <v>1</v>
      </c>
      <c r="R122" s="463">
        <f t="shared" si="22"/>
        <v>0</v>
      </c>
      <c r="S122" s="463">
        <f t="shared" si="22"/>
        <v>0</v>
      </c>
      <c r="T122" s="463">
        <f t="shared" si="22"/>
        <v>0</v>
      </c>
      <c r="U122" s="463">
        <f t="shared" si="22"/>
        <v>0</v>
      </c>
      <c r="V122" s="463">
        <f t="shared" si="22"/>
        <v>0</v>
      </c>
      <c r="W122" s="463">
        <f t="shared" si="22"/>
        <v>0</v>
      </c>
      <c r="X122" s="463">
        <f t="shared" si="22"/>
        <v>0</v>
      </c>
      <c r="Y122" s="463">
        <f t="shared" si="22"/>
        <v>0</v>
      </c>
      <c r="Z122" s="463">
        <f t="shared" si="22"/>
        <v>0</v>
      </c>
      <c r="AA122" s="463">
        <f t="shared" si="22"/>
        <v>0</v>
      </c>
      <c r="AB122" s="463">
        <f t="shared" si="22"/>
        <v>0</v>
      </c>
      <c r="AC122" s="463">
        <f t="shared" ref="X122:AF147" si="23">+IF($L122=AC$10,IF($K122=AC$11,1,0),0)</f>
        <v>0</v>
      </c>
      <c r="AD122" s="463">
        <f t="shared" si="23"/>
        <v>0</v>
      </c>
      <c r="AE122" s="463">
        <f t="shared" si="23"/>
        <v>0</v>
      </c>
      <c r="AF122" s="621">
        <f t="shared" si="23"/>
        <v>0</v>
      </c>
      <c r="AG122" s="573"/>
      <c r="AH122" s="464"/>
      <c r="AI122" s="464"/>
      <c r="AJ122" s="464"/>
      <c r="AK122" s="464"/>
      <c r="AL122" s="465"/>
      <c r="AM122" s="463"/>
      <c r="AN122" s="464"/>
      <c r="AO122" s="464"/>
      <c r="AP122" s="464"/>
      <c r="AQ122" s="464"/>
      <c r="AR122" s="465"/>
      <c r="AS122" s="463"/>
      <c r="AT122" s="464"/>
      <c r="AU122" s="464"/>
      <c r="AV122" s="464"/>
      <c r="AW122" s="464"/>
      <c r="AX122" s="465"/>
      <c r="AY122" s="463"/>
      <c r="AZ122" s="464"/>
      <c r="BA122" s="464"/>
      <c r="BB122" s="464"/>
      <c r="BC122" s="464"/>
      <c r="BD122" s="465"/>
      <c r="BE122" s="463"/>
      <c r="BF122" s="464"/>
      <c r="BG122" s="464"/>
      <c r="BH122" s="464">
        <f>+IF($I122=BH$10,IF($L122=BH$11,#REF!,0),0)</f>
        <v>0</v>
      </c>
      <c r="BI122" s="464">
        <f>+IF($I122=BI$10,IF($L122=BI$11,#REF!,0),0)</f>
        <v>0</v>
      </c>
      <c r="BJ122" s="466">
        <f>+IF($I122=BJ$10,IF($L122=BJ$11,#REF!,0),0)</f>
        <v>0</v>
      </c>
    </row>
    <row r="123" spans="5:62" s="467" customFormat="1" ht="16.5" hidden="1" customHeight="1">
      <c r="E123" s="454" t="s">
        <v>1215</v>
      </c>
      <c r="F123" s="455"/>
      <c r="G123" s="456"/>
      <c r="H123" s="457"/>
      <c r="I123" s="458" t="s">
        <v>1194</v>
      </c>
      <c r="J123" s="566"/>
      <c r="K123" s="571">
        <v>250</v>
      </c>
      <c r="L123" s="460" t="s">
        <v>1188</v>
      </c>
      <c r="M123" s="463">
        <f t="shared" si="22"/>
        <v>0</v>
      </c>
      <c r="N123" s="463">
        <f t="shared" si="22"/>
        <v>0</v>
      </c>
      <c r="O123" s="463">
        <f t="shared" si="22"/>
        <v>0</v>
      </c>
      <c r="P123" s="463">
        <f t="shared" si="22"/>
        <v>1</v>
      </c>
      <c r="Q123" s="463">
        <f t="shared" si="22"/>
        <v>0</v>
      </c>
      <c r="R123" s="463">
        <f t="shared" si="22"/>
        <v>0</v>
      </c>
      <c r="S123" s="463">
        <f t="shared" si="22"/>
        <v>0</v>
      </c>
      <c r="T123" s="463">
        <f t="shared" si="22"/>
        <v>0</v>
      </c>
      <c r="U123" s="463">
        <f t="shared" si="22"/>
        <v>0</v>
      </c>
      <c r="V123" s="463">
        <f t="shared" si="22"/>
        <v>0</v>
      </c>
      <c r="W123" s="463">
        <f t="shared" si="22"/>
        <v>0</v>
      </c>
      <c r="X123" s="463">
        <f t="shared" si="23"/>
        <v>0</v>
      </c>
      <c r="Y123" s="463">
        <f t="shared" si="23"/>
        <v>0</v>
      </c>
      <c r="Z123" s="463">
        <f t="shared" si="23"/>
        <v>0</v>
      </c>
      <c r="AA123" s="463">
        <f t="shared" si="23"/>
        <v>0</v>
      </c>
      <c r="AB123" s="463">
        <f t="shared" si="23"/>
        <v>0</v>
      </c>
      <c r="AC123" s="463">
        <f t="shared" si="23"/>
        <v>0</v>
      </c>
      <c r="AD123" s="463">
        <f t="shared" si="23"/>
        <v>0</v>
      </c>
      <c r="AE123" s="463">
        <f t="shared" si="23"/>
        <v>0</v>
      </c>
      <c r="AF123" s="621">
        <f t="shared" si="23"/>
        <v>0</v>
      </c>
      <c r="AG123" s="573"/>
      <c r="AH123" s="464"/>
      <c r="AI123" s="464"/>
      <c r="AJ123" s="464"/>
      <c r="AK123" s="464"/>
      <c r="AL123" s="465"/>
      <c r="AM123" s="463"/>
      <c r="AN123" s="464"/>
      <c r="AO123" s="464"/>
      <c r="AP123" s="464"/>
      <c r="AQ123" s="464"/>
      <c r="AR123" s="465"/>
      <c r="AS123" s="463"/>
      <c r="AT123" s="464"/>
      <c r="AU123" s="464"/>
      <c r="AV123" s="464"/>
      <c r="AW123" s="464"/>
      <c r="AX123" s="465"/>
      <c r="AY123" s="463"/>
      <c r="AZ123" s="464"/>
      <c r="BA123" s="464"/>
      <c r="BB123" s="464"/>
      <c r="BC123" s="464"/>
      <c r="BD123" s="465"/>
      <c r="BE123" s="463"/>
      <c r="BF123" s="464"/>
      <c r="BG123" s="464"/>
      <c r="BH123" s="464">
        <f>+IF($I123=BH$10,IF($L123=BH$11,#REF!,0),0)</f>
        <v>0</v>
      </c>
      <c r="BI123" s="464">
        <f>+IF($I123=BI$10,IF($L123=BI$11,#REF!,0),0)</f>
        <v>0</v>
      </c>
      <c r="BJ123" s="466">
        <f>+IF($I123=BJ$10,IF($L123=BJ$11,#REF!,0),0)</f>
        <v>0</v>
      </c>
    </row>
    <row r="124" spans="5:62" s="467" customFormat="1" ht="16.5" hidden="1" customHeight="1">
      <c r="E124" s="454" t="s">
        <v>1215</v>
      </c>
      <c r="F124" s="455"/>
      <c r="G124" s="456"/>
      <c r="H124" s="457"/>
      <c r="I124" s="458" t="s">
        <v>1197</v>
      </c>
      <c r="J124" s="566" t="s">
        <v>1198</v>
      </c>
      <c r="K124" s="571">
        <v>200</v>
      </c>
      <c r="L124" s="460" t="s">
        <v>1188</v>
      </c>
      <c r="M124" s="463">
        <f t="shared" si="22"/>
        <v>0</v>
      </c>
      <c r="N124" s="463">
        <f t="shared" si="22"/>
        <v>0</v>
      </c>
      <c r="O124" s="463">
        <f t="shared" si="22"/>
        <v>1</v>
      </c>
      <c r="P124" s="463">
        <f t="shared" si="22"/>
        <v>0</v>
      </c>
      <c r="Q124" s="463">
        <f t="shared" si="22"/>
        <v>0</v>
      </c>
      <c r="R124" s="463">
        <f t="shared" si="22"/>
        <v>0</v>
      </c>
      <c r="S124" s="463">
        <f t="shared" si="22"/>
        <v>0</v>
      </c>
      <c r="T124" s="463">
        <f t="shared" si="22"/>
        <v>0</v>
      </c>
      <c r="U124" s="463">
        <f t="shared" si="22"/>
        <v>0</v>
      </c>
      <c r="V124" s="463">
        <f t="shared" si="22"/>
        <v>0</v>
      </c>
      <c r="W124" s="463">
        <f t="shared" si="22"/>
        <v>0</v>
      </c>
      <c r="X124" s="463">
        <f t="shared" si="23"/>
        <v>0</v>
      </c>
      <c r="Y124" s="463">
        <f t="shared" si="23"/>
        <v>0</v>
      </c>
      <c r="Z124" s="463">
        <f t="shared" si="23"/>
        <v>0</v>
      </c>
      <c r="AA124" s="463">
        <f t="shared" si="23"/>
        <v>0</v>
      </c>
      <c r="AB124" s="463">
        <f t="shared" si="23"/>
        <v>0</v>
      </c>
      <c r="AC124" s="463">
        <f t="shared" si="23"/>
        <v>0</v>
      </c>
      <c r="AD124" s="463">
        <f t="shared" si="23"/>
        <v>0</v>
      </c>
      <c r="AE124" s="463">
        <f t="shared" si="23"/>
        <v>0</v>
      </c>
      <c r="AF124" s="621">
        <f t="shared" si="23"/>
        <v>0</v>
      </c>
      <c r="AG124" s="573"/>
      <c r="AH124" s="464"/>
      <c r="AI124" s="464"/>
      <c r="AJ124" s="464"/>
      <c r="AK124" s="464"/>
      <c r="AL124" s="465"/>
      <c r="AM124" s="463"/>
      <c r="AN124" s="464"/>
      <c r="AO124" s="464"/>
      <c r="AP124" s="464"/>
      <c r="AQ124" s="464"/>
      <c r="AR124" s="465"/>
      <c r="AS124" s="463"/>
      <c r="AT124" s="464"/>
      <c r="AU124" s="464"/>
      <c r="AV124" s="464"/>
      <c r="AW124" s="464"/>
      <c r="AX124" s="465"/>
      <c r="AY124" s="463"/>
      <c r="AZ124" s="464"/>
      <c r="BA124" s="464"/>
      <c r="BB124" s="464"/>
      <c r="BC124" s="464"/>
      <c r="BD124" s="465"/>
      <c r="BE124" s="463"/>
      <c r="BF124" s="464"/>
      <c r="BG124" s="464"/>
      <c r="BH124" s="464"/>
      <c r="BI124" s="464"/>
      <c r="BJ124" s="466"/>
    </row>
    <row r="125" spans="5:62" s="467" customFormat="1" ht="16.5" hidden="1" customHeight="1">
      <c r="E125" s="454" t="s">
        <v>1215</v>
      </c>
      <c r="F125" s="455"/>
      <c r="G125" s="456"/>
      <c r="H125" s="457"/>
      <c r="I125" s="458" t="s">
        <v>1199</v>
      </c>
      <c r="J125" s="566"/>
      <c r="K125" s="571" t="s">
        <v>1181</v>
      </c>
      <c r="L125" s="460" t="s">
        <v>1190</v>
      </c>
      <c r="M125" s="463">
        <f t="shared" si="22"/>
        <v>0</v>
      </c>
      <c r="N125" s="463">
        <f t="shared" si="22"/>
        <v>0</v>
      </c>
      <c r="O125" s="463">
        <f t="shared" si="22"/>
        <v>0</v>
      </c>
      <c r="P125" s="463">
        <f t="shared" si="22"/>
        <v>0</v>
      </c>
      <c r="Q125" s="463">
        <f t="shared" si="22"/>
        <v>0</v>
      </c>
      <c r="R125" s="463">
        <f t="shared" si="22"/>
        <v>0</v>
      </c>
      <c r="S125" s="463">
        <f t="shared" si="22"/>
        <v>0</v>
      </c>
      <c r="T125" s="463">
        <f t="shared" si="22"/>
        <v>0</v>
      </c>
      <c r="U125" s="463">
        <f t="shared" si="22"/>
        <v>0</v>
      </c>
      <c r="V125" s="463">
        <f t="shared" si="22"/>
        <v>0</v>
      </c>
      <c r="W125" s="463">
        <f t="shared" si="22"/>
        <v>0</v>
      </c>
      <c r="X125" s="463">
        <f t="shared" si="23"/>
        <v>1</v>
      </c>
      <c r="Y125" s="463">
        <f t="shared" si="23"/>
        <v>0</v>
      </c>
      <c r="Z125" s="463">
        <f t="shared" si="23"/>
        <v>0</v>
      </c>
      <c r="AA125" s="463">
        <f t="shared" si="23"/>
        <v>0</v>
      </c>
      <c r="AB125" s="463">
        <f t="shared" si="23"/>
        <v>0</v>
      </c>
      <c r="AC125" s="463">
        <f t="shared" si="23"/>
        <v>0</v>
      </c>
      <c r="AD125" s="463">
        <f t="shared" si="23"/>
        <v>0</v>
      </c>
      <c r="AE125" s="463">
        <f t="shared" si="23"/>
        <v>0</v>
      </c>
      <c r="AF125" s="621">
        <f t="shared" si="23"/>
        <v>0</v>
      </c>
      <c r="AG125" s="573"/>
      <c r="AH125" s="464"/>
      <c r="AI125" s="464"/>
      <c r="AJ125" s="464"/>
      <c r="AK125" s="464"/>
      <c r="AL125" s="465"/>
      <c r="AM125" s="463"/>
      <c r="AN125" s="464"/>
      <c r="AO125" s="464"/>
      <c r="AP125" s="464"/>
      <c r="AQ125" s="464"/>
      <c r="AR125" s="465"/>
      <c r="AS125" s="463"/>
      <c r="AT125" s="464"/>
      <c r="AU125" s="464"/>
      <c r="AV125" s="464"/>
      <c r="AW125" s="464"/>
      <c r="AX125" s="465"/>
      <c r="AY125" s="463"/>
      <c r="AZ125" s="464"/>
      <c r="BA125" s="464"/>
      <c r="BB125" s="464"/>
      <c r="BC125" s="464"/>
      <c r="BD125" s="465"/>
      <c r="BE125" s="463"/>
      <c r="BF125" s="464"/>
      <c r="BG125" s="464"/>
      <c r="BH125" s="464"/>
      <c r="BI125" s="464"/>
      <c r="BJ125" s="466"/>
    </row>
    <row r="126" spans="5:62" s="467" customFormat="1" ht="16.5" hidden="1" customHeight="1">
      <c r="E126" s="454" t="s">
        <v>1215</v>
      </c>
      <c r="F126" s="455"/>
      <c r="G126" s="456"/>
      <c r="H126" s="457"/>
      <c r="I126" s="458" t="s">
        <v>1197</v>
      </c>
      <c r="J126" s="566" t="s">
        <v>1198</v>
      </c>
      <c r="K126" s="571">
        <v>200</v>
      </c>
      <c r="L126" s="460" t="s">
        <v>1188</v>
      </c>
      <c r="M126" s="463">
        <f t="shared" si="22"/>
        <v>0</v>
      </c>
      <c r="N126" s="463">
        <f t="shared" si="22"/>
        <v>0</v>
      </c>
      <c r="O126" s="463">
        <f t="shared" si="22"/>
        <v>1</v>
      </c>
      <c r="P126" s="463">
        <f t="shared" si="22"/>
        <v>0</v>
      </c>
      <c r="Q126" s="463">
        <f t="shared" si="22"/>
        <v>0</v>
      </c>
      <c r="R126" s="463">
        <f t="shared" si="22"/>
        <v>0</v>
      </c>
      <c r="S126" s="463">
        <f t="shared" si="22"/>
        <v>0</v>
      </c>
      <c r="T126" s="463">
        <f t="shared" si="22"/>
        <v>0</v>
      </c>
      <c r="U126" s="463">
        <f t="shared" si="22"/>
        <v>0</v>
      </c>
      <c r="V126" s="463">
        <f t="shared" si="22"/>
        <v>0</v>
      </c>
      <c r="W126" s="463">
        <f t="shared" si="22"/>
        <v>0</v>
      </c>
      <c r="X126" s="463">
        <f t="shared" si="23"/>
        <v>0</v>
      </c>
      <c r="Y126" s="463">
        <f t="shared" si="23"/>
        <v>0</v>
      </c>
      <c r="Z126" s="463">
        <f t="shared" si="23"/>
        <v>0</v>
      </c>
      <c r="AA126" s="463">
        <f t="shared" si="23"/>
        <v>0</v>
      </c>
      <c r="AB126" s="463">
        <f t="shared" si="23"/>
        <v>0</v>
      </c>
      <c r="AC126" s="463">
        <f t="shared" si="23"/>
        <v>0</v>
      </c>
      <c r="AD126" s="463">
        <f t="shared" si="23"/>
        <v>0</v>
      </c>
      <c r="AE126" s="463">
        <f t="shared" si="23"/>
        <v>0</v>
      </c>
      <c r="AF126" s="621">
        <f t="shared" si="23"/>
        <v>0</v>
      </c>
      <c r="AG126" s="573"/>
      <c r="AH126" s="464"/>
      <c r="AI126" s="464"/>
      <c r="AJ126" s="464"/>
      <c r="AK126" s="464"/>
      <c r="AL126" s="465"/>
      <c r="AM126" s="463"/>
      <c r="AN126" s="464"/>
      <c r="AO126" s="464"/>
      <c r="AP126" s="464"/>
      <c r="AQ126" s="464"/>
      <c r="AR126" s="465"/>
      <c r="AS126" s="463"/>
      <c r="AT126" s="464"/>
      <c r="AU126" s="464"/>
      <c r="AV126" s="464"/>
      <c r="AW126" s="464"/>
      <c r="AX126" s="465"/>
      <c r="AY126" s="463"/>
      <c r="AZ126" s="464"/>
      <c r="BA126" s="464"/>
      <c r="BB126" s="464"/>
      <c r="BC126" s="464"/>
      <c r="BD126" s="465"/>
      <c r="BE126" s="463"/>
      <c r="BF126" s="464"/>
      <c r="BG126" s="464"/>
      <c r="BH126" s="464"/>
      <c r="BI126" s="464"/>
      <c r="BJ126" s="466"/>
    </row>
    <row r="127" spans="5:62" s="467" customFormat="1" ht="16.5" hidden="1" customHeight="1">
      <c r="E127" s="454" t="s">
        <v>1215</v>
      </c>
      <c r="F127" s="455"/>
      <c r="G127" s="456"/>
      <c r="H127" s="457"/>
      <c r="I127" s="458" t="s">
        <v>1200</v>
      </c>
      <c r="J127" s="566"/>
      <c r="K127" s="571" t="s">
        <v>1179</v>
      </c>
      <c r="L127" s="460" t="s">
        <v>1190</v>
      </c>
      <c r="M127" s="463">
        <f t="shared" si="22"/>
        <v>0</v>
      </c>
      <c r="N127" s="463">
        <f t="shared" si="22"/>
        <v>0</v>
      </c>
      <c r="O127" s="463">
        <f t="shared" si="22"/>
        <v>0</v>
      </c>
      <c r="P127" s="463">
        <f t="shared" si="22"/>
        <v>0</v>
      </c>
      <c r="Q127" s="463">
        <f t="shared" si="22"/>
        <v>0</v>
      </c>
      <c r="R127" s="463">
        <f t="shared" si="22"/>
        <v>0</v>
      </c>
      <c r="S127" s="463">
        <f t="shared" si="22"/>
        <v>0</v>
      </c>
      <c r="T127" s="463">
        <f t="shared" si="22"/>
        <v>0</v>
      </c>
      <c r="U127" s="463">
        <f t="shared" si="22"/>
        <v>0</v>
      </c>
      <c r="V127" s="463">
        <f t="shared" si="22"/>
        <v>1</v>
      </c>
      <c r="W127" s="463">
        <f t="shared" si="22"/>
        <v>0</v>
      </c>
      <c r="X127" s="463">
        <f t="shared" si="23"/>
        <v>0</v>
      </c>
      <c r="Y127" s="463">
        <f t="shared" si="23"/>
        <v>0</v>
      </c>
      <c r="Z127" s="463">
        <f t="shared" si="23"/>
        <v>0</v>
      </c>
      <c r="AA127" s="463">
        <f t="shared" si="23"/>
        <v>0</v>
      </c>
      <c r="AB127" s="463">
        <f t="shared" si="23"/>
        <v>0</v>
      </c>
      <c r="AC127" s="463">
        <f t="shared" si="23"/>
        <v>0</v>
      </c>
      <c r="AD127" s="463">
        <f t="shared" si="23"/>
        <v>0</v>
      </c>
      <c r="AE127" s="463">
        <f t="shared" si="23"/>
        <v>0</v>
      </c>
      <c r="AF127" s="621">
        <f t="shared" si="23"/>
        <v>0</v>
      </c>
      <c r="AG127" s="573"/>
      <c r="AH127" s="464"/>
      <c r="AI127" s="464"/>
      <c r="AJ127" s="464"/>
      <c r="AK127" s="464"/>
      <c r="AL127" s="465"/>
      <c r="AM127" s="463"/>
      <c r="AN127" s="464"/>
      <c r="AO127" s="464"/>
      <c r="AP127" s="464"/>
      <c r="AQ127" s="464"/>
      <c r="AR127" s="465"/>
      <c r="AS127" s="463"/>
      <c r="AT127" s="464"/>
      <c r="AU127" s="464"/>
      <c r="AV127" s="464"/>
      <c r="AW127" s="464"/>
      <c r="AX127" s="465"/>
      <c r="AY127" s="463"/>
      <c r="AZ127" s="464"/>
      <c r="BA127" s="464"/>
      <c r="BB127" s="464"/>
      <c r="BC127" s="464"/>
      <c r="BD127" s="465"/>
      <c r="BE127" s="463"/>
      <c r="BF127" s="464"/>
      <c r="BG127" s="464"/>
      <c r="BH127" s="464"/>
      <c r="BI127" s="464"/>
      <c r="BJ127" s="466"/>
    </row>
    <row r="128" spans="5:62" s="467" customFormat="1" ht="16.5" hidden="1" customHeight="1">
      <c r="E128" s="454" t="s">
        <v>1215</v>
      </c>
      <c r="F128" s="455"/>
      <c r="G128" s="456"/>
      <c r="H128" s="457"/>
      <c r="I128" s="458" t="s">
        <v>1197</v>
      </c>
      <c r="J128" s="566" t="s">
        <v>1198</v>
      </c>
      <c r="K128" s="571">
        <v>200</v>
      </c>
      <c r="L128" s="460" t="s">
        <v>1188</v>
      </c>
      <c r="M128" s="463">
        <f t="shared" si="22"/>
        <v>0</v>
      </c>
      <c r="N128" s="463">
        <f t="shared" si="22"/>
        <v>0</v>
      </c>
      <c r="O128" s="463">
        <f t="shared" si="22"/>
        <v>1</v>
      </c>
      <c r="P128" s="463">
        <f t="shared" si="22"/>
        <v>0</v>
      </c>
      <c r="Q128" s="463">
        <f t="shared" si="22"/>
        <v>0</v>
      </c>
      <c r="R128" s="463">
        <f t="shared" si="22"/>
        <v>0</v>
      </c>
      <c r="S128" s="463">
        <f t="shared" si="22"/>
        <v>0</v>
      </c>
      <c r="T128" s="463">
        <f t="shared" si="22"/>
        <v>0</v>
      </c>
      <c r="U128" s="463">
        <f t="shared" si="22"/>
        <v>0</v>
      </c>
      <c r="V128" s="463">
        <f t="shared" si="22"/>
        <v>0</v>
      </c>
      <c r="W128" s="463">
        <f t="shared" si="22"/>
        <v>0</v>
      </c>
      <c r="X128" s="463">
        <f t="shared" si="23"/>
        <v>0</v>
      </c>
      <c r="Y128" s="463">
        <f t="shared" si="23"/>
        <v>0</v>
      </c>
      <c r="Z128" s="463">
        <f t="shared" si="23"/>
        <v>0</v>
      </c>
      <c r="AA128" s="463">
        <f t="shared" si="23"/>
        <v>0</v>
      </c>
      <c r="AB128" s="463">
        <f t="shared" si="23"/>
        <v>0</v>
      </c>
      <c r="AC128" s="463">
        <f t="shared" si="23"/>
        <v>0</v>
      </c>
      <c r="AD128" s="463">
        <f t="shared" si="23"/>
        <v>0</v>
      </c>
      <c r="AE128" s="463">
        <f t="shared" si="23"/>
        <v>0</v>
      </c>
      <c r="AF128" s="621">
        <f t="shared" si="23"/>
        <v>0</v>
      </c>
      <c r="AG128" s="573"/>
      <c r="AH128" s="464"/>
      <c r="AI128" s="464"/>
      <c r="AJ128" s="464"/>
      <c r="AK128" s="464"/>
      <c r="AL128" s="465"/>
      <c r="AM128" s="463"/>
      <c r="AN128" s="464"/>
      <c r="AO128" s="464"/>
      <c r="AP128" s="464"/>
      <c r="AQ128" s="464"/>
      <c r="AR128" s="465"/>
      <c r="AS128" s="463"/>
      <c r="AT128" s="464"/>
      <c r="AU128" s="464"/>
      <c r="AV128" s="464"/>
      <c r="AW128" s="464"/>
      <c r="AX128" s="465"/>
      <c r="AY128" s="463"/>
      <c r="AZ128" s="464"/>
      <c r="BA128" s="464"/>
      <c r="BB128" s="464"/>
      <c r="BC128" s="464"/>
      <c r="BD128" s="465"/>
      <c r="BE128" s="463"/>
      <c r="BF128" s="464"/>
      <c r="BG128" s="464"/>
      <c r="BH128" s="464"/>
      <c r="BI128" s="464"/>
      <c r="BJ128" s="466"/>
    </row>
    <row r="129" spans="5:62" s="467" customFormat="1" ht="16.5" hidden="1" customHeight="1">
      <c r="E129" s="454" t="s">
        <v>1215</v>
      </c>
      <c r="F129" s="455"/>
      <c r="G129" s="456"/>
      <c r="H129" s="457"/>
      <c r="I129" s="458" t="s">
        <v>1200</v>
      </c>
      <c r="J129" s="566"/>
      <c r="K129" s="571" t="s">
        <v>1179</v>
      </c>
      <c r="L129" s="460" t="s">
        <v>1190</v>
      </c>
      <c r="M129" s="463">
        <f t="shared" si="22"/>
        <v>0</v>
      </c>
      <c r="N129" s="463">
        <f t="shared" si="22"/>
        <v>0</v>
      </c>
      <c r="O129" s="463">
        <f t="shared" si="22"/>
        <v>0</v>
      </c>
      <c r="P129" s="463">
        <f t="shared" si="22"/>
        <v>0</v>
      </c>
      <c r="Q129" s="463">
        <f t="shared" si="22"/>
        <v>0</v>
      </c>
      <c r="R129" s="463">
        <f t="shared" si="22"/>
        <v>0</v>
      </c>
      <c r="S129" s="463">
        <f t="shared" si="22"/>
        <v>0</v>
      </c>
      <c r="T129" s="463">
        <f t="shared" si="22"/>
        <v>0</v>
      </c>
      <c r="U129" s="463">
        <f t="shared" si="22"/>
        <v>0</v>
      </c>
      <c r="V129" s="463">
        <f t="shared" si="22"/>
        <v>1</v>
      </c>
      <c r="W129" s="463">
        <f t="shared" si="22"/>
        <v>0</v>
      </c>
      <c r="X129" s="463">
        <f t="shared" si="23"/>
        <v>0</v>
      </c>
      <c r="Y129" s="463">
        <f t="shared" si="23"/>
        <v>0</v>
      </c>
      <c r="Z129" s="463">
        <f t="shared" si="23"/>
        <v>0</v>
      </c>
      <c r="AA129" s="463">
        <f t="shared" si="23"/>
        <v>0</v>
      </c>
      <c r="AB129" s="463">
        <f t="shared" si="23"/>
        <v>0</v>
      </c>
      <c r="AC129" s="463">
        <f t="shared" si="23"/>
        <v>0</v>
      </c>
      <c r="AD129" s="463">
        <f t="shared" si="23"/>
        <v>0</v>
      </c>
      <c r="AE129" s="463">
        <f t="shared" si="23"/>
        <v>0</v>
      </c>
      <c r="AF129" s="621">
        <f t="shared" si="23"/>
        <v>0</v>
      </c>
      <c r="AG129" s="573"/>
      <c r="AH129" s="464"/>
      <c r="AI129" s="464"/>
      <c r="AJ129" s="464"/>
      <c r="AK129" s="464"/>
      <c r="AL129" s="465"/>
      <c r="AM129" s="463"/>
      <c r="AN129" s="464"/>
      <c r="AO129" s="464"/>
      <c r="AP129" s="464"/>
      <c r="AQ129" s="464"/>
      <c r="AR129" s="465"/>
      <c r="AS129" s="463"/>
      <c r="AT129" s="464"/>
      <c r="AU129" s="464"/>
      <c r="AV129" s="464"/>
      <c r="AW129" s="464"/>
      <c r="AX129" s="465"/>
      <c r="AY129" s="463"/>
      <c r="AZ129" s="464"/>
      <c r="BA129" s="464"/>
      <c r="BB129" s="464"/>
      <c r="BC129" s="464"/>
      <c r="BD129" s="465"/>
      <c r="BE129" s="463"/>
      <c r="BF129" s="464"/>
      <c r="BG129" s="464"/>
      <c r="BH129" s="464"/>
      <c r="BI129" s="464"/>
      <c r="BJ129" s="466"/>
    </row>
    <row r="130" spans="5:62" s="467" customFormat="1" ht="16.5" hidden="1" customHeight="1">
      <c r="E130" s="454" t="s">
        <v>1215</v>
      </c>
      <c r="F130" s="455"/>
      <c r="G130" s="456"/>
      <c r="H130" s="457"/>
      <c r="I130" s="458" t="s">
        <v>1197</v>
      </c>
      <c r="J130" s="566" t="s">
        <v>1198</v>
      </c>
      <c r="K130" s="571">
        <v>200</v>
      </c>
      <c r="L130" s="460" t="s">
        <v>1188</v>
      </c>
      <c r="M130" s="463">
        <f t="shared" si="22"/>
        <v>0</v>
      </c>
      <c r="N130" s="463">
        <f t="shared" si="22"/>
        <v>0</v>
      </c>
      <c r="O130" s="463">
        <f t="shared" si="22"/>
        <v>1</v>
      </c>
      <c r="P130" s="463">
        <f t="shared" si="22"/>
        <v>0</v>
      </c>
      <c r="Q130" s="463">
        <f t="shared" si="22"/>
        <v>0</v>
      </c>
      <c r="R130" s="463">
        <f t="shared" si="22"/>
        <v>0</v>
      </c>
      <c r="S130" s="463">
        <f t="shared" si="22"/>
        <v>0</v>
      </c>
      <c r="T130" s="463">
        <f t="shared" si="22"/>
        <v>0</v>
      </c>
      <c r="U130" s="463">
        <f t="shared" si="22"/>
        <v>0</v>
      </c>
      <c r="V130" s="463">
        <f t="shared" si="22"/>
        <v>0</v>
      </c>
      <c r="W130" s="463">
        <f t="shared" si="22"/>
        <v>0</v>
      </c>
      <c r="X130" s="463">
        <f t="shared" si="23"/>
        <v>0</v>
      </c>
      <c r="Y130" s="463">
        <f t="shared" si="23"/>
        <v>0</v>
      </c>
      <c r="Z130" s="463">
        <f t="shared" si="23"/>
        <v>0</v>
      </c>
      <c r="AA130" s="463">
        <f t="shared" si="23"/>
        <v>0</v>
      </c>
      <c r="AB130" s="463">
        <f t="shared" si="23"/>
        <v>0</v>
      </c>
      <c r="AC130" s="463">
        <f t="shared" si="23"/>
        <v>0</v>
      </c>
      <c r="AD130" s="463">
        <f t="shared" si="23"/>
        <v>0</v>
      </c>
      <c r="AE130" s="463">
        <f t="shared" si="23"/>
        <v>0</v>
      </c>
      <c r="AF130" s="621">
        <f t="shared" si="23"/>
        <v>0</v>
      </c>
      <c r="AG130" s="573"/>
      <c r="AH130" s="464"/>
      <c r="AI130" s="464"/>
      <c r="AJ130" s="464"/>
      <c r="AK130" s="464"/>
      <c r="AL130" s="465"/>
      <c r="AM130" s="463"/>
      <c r="AN130" s="464"/>
      <c r="AO130" s="464"/>
      <c r="AP130" s="464"/>
      <c r="AQ130" s="464"/>
      <c r="AR130" s="465"/>
      <c r="AS130" s="463"/>
      <c r="AT130" s="464"/>
      <c r="AU130" s="464"/>
      <c r="AV130" s="464"/>
      <c r="AW130" s="464"/>
      <c r="AX130" s="465"/>
      <c r="AY130" s="463"/>
      <c r="AZ130" s="464"/>
      <c r="BA130" s="464"/>
      <c r="BB130" s="464"/>
      <c r="BC130" s="464"/>
      <c r="BD130" s="465"/>
      <c r="BE130" s="463"/>
      <c r="BF130" s="464"/>
      <c r="BG130" s="464"/>
      <c r="BH130" s="464"/>
      <c r="BI130" s="464"/>
      <c r="BJ130" s="466"/>
    </row>
    <row r="131" spans="5:62" s="467" customFormat="1" ht="16.5" hidden="1" customHeight="1">
      <c r="E131" s="454" t="s">
        <v>1215</v>
      </c>
      <c r="F131" s="455"/>
      <c r="G131" s="456"/>
      <c r="H131" s="457"/>
      <c r="I131" s="458" t="s">
        <v>1193</v>
      </c>
      <c r="J131" s="566" t="s">
        <v>1192</v>
      </c>
      <c r="K131" s="571">
        <v>100</v>
      </c>
      <c r="L131" s="460" t="s">
        <v>1188</v>
      </c>
      <c r="M131" s="463">
        <f t="shared" si="22"/>
        <v>1</v>
      </c>
      <c r="N131" s="463">
        <f t="shared" si="22"/>
        <v>0</v>
      </c>
      <c r="O131" s="463">
        <f t="shared" si="22"/>
        <v>0</v>
      </c>
      <c r="P131" s="463">
        <f t="shared" si="22"/>
        <v>0</v>
      </c>
      <c r="Q131" s="463">
        <f t="shared" si="22"/>
        <v>0</v>
      </c>
      <c r="R131" s="463">
        <f t="shared" si="22"/>
        <v>0</v>
      </c>
      <c r="S131" s="463">
        <f t="shared" si="22"/>
        <v>0</v>
      </c>
      <c r="T131" s="463">
        <f t="shared" si="22"/>
        <v>0</v>
      </c>
      <c r="U131" s="463">
        <f t="shared" si="22"/>
        <v>0</v>
      </c>
      <c r="V131" s="463">
        <f t="shared" si="22"/>
        <v>0</v>
      </c>
      <c r="W131" s="463">
        <f t="shared" si="22"/>
        <v>0</v>
      </c>
      <c r="X131" s="463">
        <f t="shared" si="23"/>
        <v>0</v>
      </c>
      <c r="Y131" s="463">
        <f t="shared" si="23"/>
        <v>0</v>
      </c>
      <c r="Z131" s="463">
        <f t="shared" si="23"/>
        <v>0</v>
      </c>
      <c r="AA131" s="463">
        <f t="shared" si="23"/>
        <v>0</v>
      </c>
      <c r="AB131" s="463">
        <f t="shared" si="23"/>
        <v>0</v>
      </c>
      <c r="AC131" s="463">
        <f t="shared" si="23"/>
        <v>0</v>
      </c>
      <c r="AD131" s="463">
        <f t="shared" si="23"/>
        <v>0</v>
      </c>
      <c r="AE131" s="463">
        <f t="shared" si="23"/>
        <v>0</v>
      </c>
      <c r="AF131" s="621">
        <f t="shared" si="23"/>
        <v>0</v>
      </c>
      <c r="AG131" s="573"/>
      <c r="AH131" s="464"/>
      <c r="AI131" s="464"/>
      <c r="AJ131" s="464"/>
      <c r="AK131" s="464"/>
      <c r="AL131" s="465"/>
      <c r="AM131" s="463"/>
      <c r="AN131" s="464"/>
      <c r="AO131" s="464"/>
      <c r="AP131" s="464"/>
      <c r="AQ131" s="464"/>
      <c r="AR131" s="465"/>
      <c r="AS131" s="463"/>
      <c r="AT131" s="464"/>
      <c r="AU131" s="464"/>
      <c r="AV131" s="464"/>
      <c r="AW131" s="464"/>
      <c r="AX131" s="465"/>
      <c r="AY131" s="463"/>
      <c r="AZ131" s="464"/>
      <c r="BA131" s="464"/>
      <c r="BB131" s="464"/>
      <c r="BC131" s="464"/>
      <c r="BD131" s="465"/>
      <c r="BE131" s="463"/>
      <c r="BF131" s="464"/>
      <c r="BG131" s="464"/>
      <c r="BH131" s="464"/>
      <c r="BI131" s="464"/>
      <c r="BJ131" s="466"/>
    </row>
    <row r="132" spans="5:62" s="467" customFormat="1" ht="16.5" hidden="1" customHeight="1">
      <c r="E132" s="454" t="s">
        <v>1215</v>
      </c>
      <c r="F132" s="455"/>
      <c r="G132" s="456"/>
      <c r="H132" s="457"/>
      <c r="I132" s="458" t="s">
        <v>1197</v>
      </c>
      <c r="J132" s="566" t="s">
        <v>1198</v>
      </c>
      <c r="K132" s="571">
        <v>200</v>
      </c>
      <c r="L132" s="460" t="s">
        <v>1188</v>
      </c>
      <c r="M132" s="463">
        <f t="shared" si="22"/>
        <v>0</v>
      </c>
      <c r="N132" s="463">
        <f t="shared" si="22"/>
        <v>0</v>
      </c>
      <c r="O132" s="463">
        <f t="shared" si="22"/>
        <v>1</v>
      </c>
      <c r="P132" s="463">
        <f t="shared" si="22"/>
        <v>0</v>
      </c>
      <c r="Q132" s="463">
        <f t="shared" si="22"/>
        <v>0</v>
      </c>
      <c r="R132" s="463">
        <f t="shared" si="22"/>
        <v>0</v>
      </c>
      <c r="S132" s="463">
        <f t="shared" si="22"/>
        <v>0</v>
      </c>
      <c r="T132" s="463">
        <f t="shared" si="22"/>
        <v>0</v>
      </c>
      <c r="U132" s="463">
        <f t="shared" si="22"/>
        <v>0</v>
      </c>
      <c r="V132" s="463">
        <f t="shared" si="22"/>
        <v>0</v>
      </c>
      <c r="W132" s="463">
        <f t="shared" si="22"/>
        <v>0</v>
      </c>
      <c r="X132" s="463">
        <f t="shared" si="23"/>
        <v>0</v>
      </c>
      <c r="Y132" s="463">
        <f t="shared" si="23"/>
        <v>0</v>
      </c>
      <c r="Z132" s="463">
        <f t="shared" si="23"/>
        <v>0</v>
      </c>
      <c r="AA132" s="463">
        <f t="shared" si="23"/>
        <v>0</v>
      </c>
      <c r="AB132" s="463">
        <f t="shared" si="23"/>
        <v>0</v>
      </c>
      <c r="AC132" s="463">
        <f t="shared" si="23"/>
        <v>0</v>
      </c>
      <c r="AD132" s="463">
        <f t="shared" si="23"/>
        <v>0</v>
      </c>
      <c r="AE132" s="463">
        <f t="shared" si="23"/>
        <v>0</v>
      </c>
      <c r="AF132" s="621">
        <f t="shared" si="23"/>
        <v>0</v>
      </c>
      <c r="AG132" s="573"/>
      <c r="AH132" s="464"/>
      <c r="AI132" s="464"/>
      <c r="AJ132" s="464"/>
      <c r="AK132" s="464"/>
      <c r="AL132" s="465"/>
      <c r="AM132" s="463"/>
      <c r="AN132" s="464"/>
      <c r="AO132" s="464"/>
      <c r="AP132" s="464"/>
      <c r="AQ132" s="464"/>
      <c r="AR132" s="465"/>
      <c r="AS132" s="463"/>
      <c r="AT132" s="464"/>
      <c r="AU132" s="464"/>
      <c r="AV132" s="464"/>
      <c r="AW132" s="464"/>
      <c r="AX132" s="465"/>
      <c r="AY132" s="463"/>
      <c r="AZ132" s="464"/>
      <c r="BA132" s="464"/>
      <c r="BB132" s="464"/>
      <c r="BC132" s="464"/>
      <c r="BD132" s="465"/>
      <c r="BE132" s="463"/>
      <c r="BF132" s="464"/>
      <c r="BG132" s="464"/>
      <c r="BH132" s="464"/>
      <c r="BI132" s="464"/>
      <c r="BJ132" s="466"/>
    </row>
    <row r="133" spans="5:62" s="467" customFormat="1" ht="16.5" hidden="1" customHeight="1">
      <c r="E133" s="454" t="s">
        <v>1215</v>
      </c>
      <c r="F133" s="455"/>
      <c r="G133" s="456"/>
      <c r="H133" s="457"/>
      <c r="I133" s="458" t="s">
        <v>1193</v>
      </c>
      <c r="J133" s="566" t="s">
        <v>1192</v>
      </c>
      <c r="K133" s="571">
        <v>150</v>
      </c>
      <c r="L133" s="460" t="s">
        <v>1188</v>
      </c>
      <c r="M133" s="463">
        <f t="shared" si="22"/>
        <v>0</v>
      </c>
      <c r="N133" s="463">
        <f t="shared" si="22"/>
        <v>1</v>
      </c>
      <c r="O133" s="463">
        <f t="shared" si="22"/>
        <v>0</v>
      </c>
      <c r="P133" s="463">
        <f t="shared" si="22"/>
        <v>0</v>
      </c>
      <c r="Q133" s="463">
        <f t="shared" si="22"/>
        <v>0</v>
      </c>
      <c r="R133" s="463">
        <f t="shared" si="22"/>
        <v>0</v>
      </c>
      <c r="S133" s="463">
        <f t="shared" si="22"/>
        <v>0</v>
      </c>
      <c r="T133" s="463">
        <f t="shared" si="22"/>
        <v>0</v>
      </c>
      <c r="U133" s="463">
        <f t="shared" si="22"/>
        <v>0</v>
      </c>
      <c r="V133" s="463">
        <f t="shared" si="22"/>
        <v>0</v>
      </c>
      <c r="W133" s="463">
        <f t="shared" si="22"/>
        <v>0</v>
      </c>
      <c r="X133" s="463">
        <f t="shared" si="23"/>
        <v>0</v>
      </c>
      <c r="Y133" s="463">
        <f t="shared" si="23"/>
        <v>0</v>
      </c>
      <c r="Z133" s="463">
        <f t="shared" si="23"/>
        <v>0</v>
      </c>
      <c r="AA133" s="463">
        <f t="shared" si="23"/>
        <v>0</v>
      </c>
      <c r="AB133" s="463">
        <f t="shared" si="23"/>
        <v>0</v>
      </c>
      <c r="AC133" s="463">
        <f t="shared" si="23"/>
        <v>0</v>
      </c>
      <c r="AD133" s="463">
        <f t="shared" si="23"/>
        <v>0</v>
      </c>
      <c r="AE133" s="463">
        <f t="shared" si="23"/>
        <v>0</v>
      </c>
      <c r="AF133" s="621">
        <f t="shared" si="23"/>
        <v>0</v>
      </c>
      <c r="AG133" s="573"/>
      <c r="AH133" s="464"/>
      <c r="AI133" s="464"/>
      <c r="AJ133" s="464"/>
      <c r="AK133" s="464"/>
      <c r="AL133" s="465"/>
      <c r="AM133" s="463"/>
      <c r="AN133" s="464"/>
      <c r="AO133" s="464"/>
      <c r="AP133" s="464"/>
      <c r="AQ133" s="464"/>
      <c r="AR133" s="465"/>
      <c r="AS133" s="463"/>
      <c r="AT133" s="464"/>
      <c r="AU133" s="464"/>
      <c r="AV133" s="464"/>
      <c r="AW133" s="464"/>
      <c r="AX133" s="465"/>
      <c r="AY133" s="463"/>
      <c r="AZ133" s="464"/>
      <c r="BA133" s="464"/>
      <c r="BB133" s="464"/>
      <c r="BC133" s="464"/>
      <c r="BD133" s="465"/>
      <c r="BE133" s="463"/>
      <c r="BF133" s="464"/>
      <c r="BG133" s="464"/>
      <c r="BH133" s="464"/>
      <c r="BI133" s="464"/>
      <c r="BJ133" s="466"/>
    </row>
    <row r="134" spans="5:62" s="467" customFormat="1" ht="16.5" hidden="1" customHeight="1">
      <c r="E134" s="454" t="s">
        <v>1215</v>
      </c>
      <c r="F134" s="455"/>
      <c r="G134" s="456"/>
      <c r="H134" s="457"/>
      <c r="I134" s="458" t="s">
        <v>1193</v>
      </c>
      <c r="J134" s="566" t="s">
        <v>1192</v>
      </c>
      <c r="K134" s="571">
        <v>150</v>
      </c>
      <c r="L134" s="460" t="s">
        <v>1188</v>
      </c>
      <c r="M134" s="463">
        <f t="shared" si="22"/>
        <v>0</v>
      </c>
      <c r="N134" s="463">
        <f t="shared" si="22"/>
        <v>1</v>
      </c>
      <c r="O134" s="463">
        <f t="shared" si="22"/>
        <v>0</v>
      </c>
      <c r="P134" s="463">
        <f t="shared" si="22"/>
        <v>0</v>
      </c>
      <c r="Q134" s="463">
        <f t="shared" si="22"/>
        <v>0</v>
      </c>
      <c r="R134" s="463">
        <f t="shared" si="22"/>
        <v>0</v>
      </c>
      <c r="S134" s="463">
        <f t="shared" si="22"/>
        <v>0</v>
      </c>
      <c r="T134" s="463">
        <f t="shared" si="22"/>
        <v>0</v>
      </c>
      <c r="U134" s="463">
        <f t="shared" si="22"/>
        <v>0</v>
      </c>
      <c r="V134" s="463">
        <f t="shared" si="22"/>
        <v>0</v>
      </c>
      <c r="W134" s="463">
        <f t="shared" si="22"/>
        <v>0</v>
      </c>
      <c r="X134" s="463">
        <f t="shared" si="23"/>
        <v>0</v>
      </c>
      <c r="Y134" s="463">
        <f t="shared" si="23"/>
        <v>0</v>
      </c>
      <c r="Z134" s="463">
        <f t="shared" si="23"/>
        <v>0</v>
      </c>
      <c r="AA134" s="463">
        <f t="shared" si="23"/>
        <v>0</v>
      </c>
      <c r="AB134" s="463">
        <f t="shared" si="23"/>
        <v>0</v>
      </c>
      <c r="AC134" s="463">
        <f t="shared" si="23"/>
        <v>0</v>
      </c>
      <c r="AD134" s="463">
        <f t="shared" si="23"/>
        <v>0</v>
      </c>
      <c r="AE134" s="463">
        <f t="shared" si="23"/>
        <v>0</v>
      </c>
      <c r="AF134" s="621">
        <f t="shared" si="23"/>
        <v>0</v>
      </c>
      <c r="AG134" s="573"/>
      <c r="AH134" s="464"/>
      <c r="AI134" s="464"/>
      <c r="AJ134" s="464"/>
      <c r="AK134" s="464"/>
      <c r="AL134" s="465"/>
      <c r="AM134" s="463"/>
      <c r="AN134" s="464"/>
      <c r="AO134" s="464"/>
      <c r="AP134" s="464"/>
      <c r="AQ134" s="464"/>
      <c r="AR134" s="465"/>
      <c r="AS134" s="463"/>
      <c r="AT134" s="464"/>
      <c r="AU134" s="464"/>
      <c r="AV134" s="464"/>
      <c r="AW134" s="464"/>
      <c r="AX134" s="465"/>
      <c r="AY134" s="463"/>
      <c r="AZ134" s="464"/>
      <c r="BA134" s="464"/>
      <c r="BB134" s="464"/>
      <c r="BC134" s="464"/>
      <c r="BD134" s="465"/>
      <c r="BE134" s="463"/>
      <c r="BF134" s="464"/>
      <c r="BG134" s="464"/>
      <c r="BH134" s="464"/>
      <c r="BI134" s="464"/>
      <c r="BJ134" s="466"/>
    </row>
    <row r="135" spans="5:62" s="467" customFormat="1" ht="16.5" hidden="1" customHeight="1">
      <c r="E135" s="454" t="s">
        <v>1215</v>
      </c>
      <c r="F135" s="455"/>
      <c r="G135" s="456"/>
      <c r="H135" s="457"/>
      <c r="I135" s="458" t="s">
        <v>1193</v>
      </c>
      <c r="J135" s="566" t="s">
        <v>1192</v>
      </c>
      <c r="K135" s="571">
        <v>150</v>
      </c>
      <c r="L135" s="460" t="s">
        <v>1188</v>
      </c>
      <c r="M135" s="463">
        <f t="shared" si="22"/>
        <v>0</v>
      </c>
      <c r="N135" s="463">
        <f t="shared" si="22"/>
        <v>1</v>
      </c>
      <c r="O135" s="463">
        <f t="shared" si="22"/>
        <v>0</v>
      </c>
      <c r="P135" s="463">
        <f t="shared" si="22"/>
        <v>0</v>
      </c>
      <c r="Q135" s="463">
        <f t="shared" si="22"/>
        <v>0</v>
      </c>
      <c r="R135" s="463">
        <f t="shared" si="22"/>
        <v>0</v>
      </c>
      <c r="S135" s="463">
        <f t="shared" si="22"/>
        <v>0</v>
      </c>
      <c r="T135" s="463">
        <f t="shared" si="22"/>
        <v>0</v>
      </c>
      <c r="U135" s="463">
        <f t="shared" si="22"/>
        <v>0</v>
      </c>
      <c r="V135" s="463">
        <f t="shared" si="22"/>
        <v>0</v>
      </c>
      <c r="W135" s="463">
        <f t="shared" si="22"/>
        <v>0</v>
      </c>
      <c r="X135" s="463">
        <f t="shared" si="23"/>
        <v>0</v>
      </c>
      <c r="Y135" s="463">
        <f t="shared" si="23"/>
        <v>0</v>
      </c>
      <c r="Z135" s="463">
        <f t="shared" si="23"/>
        <v>0</v>
      </c>
      <c r="AA135" s="463">
        <f t="shared" si="23"/>
        <v>0</v>
      </c>
      <c r="AB135" s="463">
        <f t="shared" si="23"/>
        <v>0</v>
      </c>
      <c r="AC135" s="463">
        <f t="shared" si="23"/>
        <v>0</v>
      </c>
      <c r="AD135" s="463">
        <f t="shared" si="23"/>
        <v>0</v>
      </c>
      <c r="AE135" s="463">
        <f t="shared" si="23"/>
        <v>0</v>
      </c>
      <c r="AF135" s="621">
        <f t="shared" si="23"/>
        <v>0</v>
      </c>
      <c r="AG135" s="573"/>
      <c r="AH135" s="464"/>
      <c r="AI135" s="464"/>
      <c r="AJ135" s="464"/>
      <c r="AK135" s="464"/>
      <c r="AL135" s="465"/>
      <c r="AM135" s="463"/>
      <c r="AN135" s="464"/>
      <c r="AO135" s="464"/>
      <c r="AP135" s="464"/>
      <c r="AQ135" s="464"/>
      <c r="AR135" s="465"/>
      <c r="AS135" s="463"/>
      <c r="AT135" s="464"/>
      <c r="AU135" s="464"/>
      <c r="AV135" s="464"/>
      <c r="AW135" s="464"/>
      <c r="AX135" s="465"/>
      <c r="AY135" s="463"/>
      <c r="AZ135" s="464"/>
      <c r="BA135" s="464"/>
      <c r="BB135" s="464"/>
      <c r="BC135" s="464"/>
      <c r="BD135" s="465"/>
      <c r="BE135" s="463"/>
      <c r="BF135" s="464"/>
      <c r="BG135" s="464"/>
      <c r="BH135" s="464"/>
      <c r="BI135" s="464"/>
      <c r="BJ135" s="466"/>
    </row>
    <row r="136" spans="5:62" s="467" customFormat="1" ht="16.5" hidden="1" customHeight="1">
      <c r="E136" s="454" t="s">
        <v>1215</v>
      </c>
      <c r="F136" s="455"/>
      <c r="G136" s="456"/>
      <c r="H136" s="457"/>
      <c r="I136" s="458" t="s">
        <v>1193</v>
      </c>
      <c r="J136" s="566" t="s">
        <v>1192</v>
      </c>
      <c r="K136" s="571">
        <v>150</v>
      </c>
      <c r="L136" s="460" t="s">
        <v>1188</v>
      </c>
      <c r="M136" s="463">
        <f t="shared" si="22"/>
        <v>0</v>
      </c>
      <c r="N136" s="463">
        <f t="shared" si="22"/>
        <v>1</v>
      </c>
      <c r="O136" s="463">
        <f t="shared" si="22"/>
        <v>0</v>
      </c>
      <c r="P136" s="463">
        <f t="shared" si="22"/>
        <v>0</v>
      </c>
      <c r="Q136" s="463">
        <f t="shared" si="22"/>
        <v>0</v>
      </c>
      <c r="R136" s="463">
        <f t="shared" si="22"/>
        <v>0</v>
      </c>
      <c r="S136" s="463">
        <f t="shared" si="22"/>
        <v>0</v>
      </c>
      <c r="T136" s="463">
        <f t="shared" si="22"/>
        <v>0</v>
      </c>
      <c r="U136" s="463">
        <f t="shared" si="22"/>
        <v>0</v>
      </c>
      <c r="V136" s="463">
        <f t="shared" si="22"/>
        <v>0</v>
      </c>
      <c r="W136" s="463">
        <f t="shared" si="22"/>
        <v>0</v>
      </c>
      <c r="X136" s="463">
        <f t="shared" si="23"/>
        <v>0</v>
      </c>
      <c r="Y136" s="463">
        <f t="shared" si="23"/>
        <v>0</v>
      </c>
      <c r="Z136" s="463">
        <f t="shared" si="23"/>
        <v>0</v>
      </c>
      <c r="AA136" s="463">
        <f t="shared" si="23"/>
        <v>0</v>
      </c>
      <c r="AB136" s="463">
        <f t="shared" si="23"/>
        <v>0</v>
      </c>
      <c r="AC136" s="463">
        <f t="shared" si="23"/>
        <v>0</v>
      </c>
      <c r="AD136" s="463">
        <f t="shared" si="23"/>
        <v>0</v>
      </c>
      <c r="AE136" s="463">
        <f t="shared" si="23"/>
        <v>0</v>
      </c>
      <c r="AF136" s="621">
        <f t="shared" si="23"/>
        <v>0</v>
      </c>
      <c r="AG136" s="573"/>
      <c r="AH136" s="464"/>
      <c r="AI136" s="464"/>
      <c r="AJ136" s="464"/>
      <c r="AK136" s="464"/>
      <c r="AL136" s="465"/>
      <c r="AM136" s="463"/>
      <c r="AN136" s="464"/>
      <c r="AO136" s="464"/>
      <c r="AP136" s="464"/>
      <c r="AQ136" s="464"/>
      <c r="AR136" s="465"/>
      <c r="AS136" s="463"/>
      <c r="AT136" s="464"/>
      <c r="AU136" s="464"/>
      <c r="AV136" s="464"/>
      <c r="AW136" s="464"/>
      <c r="AX136" s="465"/>
      <c r="AY136" s="463"/>
      <c r="AZ136" s="464"/>
      <c r="BA136" s="464"/>
      <c r="BB136" s="464"/>
      <c r="BC136" s="464"/>
      <c r="BD136" s="465"/>
      <c r="BE136" s="463"/>
      <c r="BF136" s="464"/>
      <c r="BG136" s="464"/>
      <c r="BH136" s="464"/>
      <c r="BI136" s="464"/>
      <c r="BJ136" s="466"/>
    </row>
    <row r="137" spans="5:62" s="434" customFormat="1" ht="15" hidden="1" customHeight="1">
      <c r="E137" s="454" t="s">
        <v>1215</v>
      </c>
      <c r="F137" s="455"/>
      <c r="G137" s="456"/>
      <c r="H137" s="457"/>
      <c r="I137" s="458" t="s">
        <v>1210</v>
      </c>
      <c r="J137" s="566"/>
      <c r="K137" s="459"/>
      <c r="L137" s="460"/>
      <c r="M137" s="463">
        <f t="shared" si="22"/>
        <v>0</v>
      </c>
      <c r="N137" s="463">
        <f t="shared" si="22"/>
        <v>0</v>
      </c>
      <c r="O137" s="463">
        <f t="shared" si="22"/>
        <v>0</v>
      </c>
      <c r="P137" s="463">
        <f t="shared" si="22"/>
        <v>0</v>
      </c>
      <c r="Q137" s="463">
        <f t="shared" si="22"/>
        <v>0</v>
      </c>
      <c r="R137" s="463">
        <f t="shared" si="22"/>
        <v>0</v>
      </c>
      <c r="S137" s="463">
        <v>18</v>
      </c>
      <c r="T137" s="463">
        <f t="shared" si="22"/>
        <v>0</v>
      </c>
      <c r="U137" s="463">
        <f t="shared" si="22"/>
        <v>0</v>
      </c>
      <c r="V137" s="463">
        <f t="shared" si="22"/>
        <v>0</v>
      </c>
      <c r="W137" s="463">
        <f t="shared" si="22"/>
        <v>0</v>
      </c>
      <c r="X137" s="463">
        <f t="shared" si="23"/>
        <v>0</v>
      </c>
      <c r="Y137" s="463">
        <f t="shared" si="23"/>
        <v>0</v>
      </c>
      <c r="Z137" s="463">
        <f t="shared" si="23"/>
        <v>0</v>
      </c>
      <c r="AA137" s="463">
        <f t="shared" si="23"/>
        <v>0</v>
      </c>
      <c r="AB137" s="463">
        <f t="shared" si="23"/>
        <v>0</v>
      </c>
      <c r="AC137" s="463">
        <f t="shared" si="23"/>
        <v>0</v>
      </c>
      <c r="AD137" s="463">
        <f t="shared" si="23"/>
        <v>0</v>
      </c>
      <c r="AE137" s="463">
        <f t="shared" si="23"/>
        <v>0</v>
      </c>
      <c r="AF137" s="621">
        <f t="shared" si="23"/>
        <v>0</v>
      </c>
      <c r="AG137" s="573"/>
      <c r="AH137" s="464"/>
      <c r="AI137" s="464"/>
      <c r="AJ137" s="464"/>
      <c r="AK137" s="464"/>
      <c r="AL137" s="465"/>
      <c r="AM137" s="463"/>
      <c r="AN137" s="464"/>
      <c r="AO137" s="464"/>
      <c r="AP137" s="464"/>
      <c r="AQ137" s="575"/>
      <c r="AR137" s="576"/>
      <c r="AS137" s="577"/>
      <c r="AT137" s="575"/>
      <c r="AU137" s="575"/>
      <c r="AV137" s="575"/>
      <c r="AW137" s="575"/>
      <c r="AX137" s="576"/>
      <c r="AY137" s="577"/>
      <c r="AZ137" s="575"/>
      <c r="BA137" s="575"/>
      <c r="BB137" s="575"/>
      <c r="BC137" s="575"/>
      <c r="BD137" s="576"/>
      <c r="BE137" s="577"/>
      <c r="BF137" s="575"/>
      <c r="BG137" s="575"/>
      <c r="BH137" s="575"/>
      <c r="BI137" s="575"/>
      <c r="BJ137" s="578"/>
    </row>
    <row r="138" spans="5:62" s="434" customFormat="1" ht="15" hidden="1" customHeight="1">
      <c r="E138" s="454" t="s">
        <v>1215</v>
      </c>
      <c r="F138" s="455"/>
      <c r="G138" s="456"/>
      <c r="H138" s="457"/>
      <c r="I138" s="458" t="s">
        <v>1211</v>
      </c>
      <c r="J138" s="566"/>
      <c r="K138" s="459"/>
      <c r="L138" s="460"/>
      <c r="M138" s="463">
        <f t="shared" si="22"/>
        <v>0</v>
      </c>
      <c r="N138" s="463">
        <f t="shared" si="22"/>
        <v>0</v>
      </c>
      <c r="O138" s="463">
        <f t="shared" si="22"/>
        <v>0</v>
      </c>
      <c r="P138" s="463">
        <f t="shared" si="22"/>
        <v>0</v>
      </c>
      <c r="Q138" s="463">
        <f t="shared" si="22"/>
        <v>0</v>
      </c>
      <c r="R138" s="463">
        <f t="shared" si="22"/>
        <v>0</v>
      </c>
      <c r="S138" s="463">
        <f t="shared" si="22"/>
        <v>0</v>
      </c>
      <c r="T138" s="463">
        <v>12</v>
      </c>
      <c r="U138" s="463">
        <f t="shared" si="22"/>
        <v>0</v>
      </c>
      <c r="V138" s="463">
        <f t="shared" si="22"/>
        <v>0</v>
      </c>
      <c r="W138" s="463">
        <f t="shared" si="22"/>
        <v>0</v>
      </c>
      <c r="X138" s="463">
        <f t="shared" si="23"/>
        <v>0</v>
      </c>
      <c r="Y138" s="463">
        <f t="shared" si="23"/>
        <v>0</v>
      </c>
      <c r="Z138" s="463">
        <f t="shared" si="23"/>
        <v>0</v>
      </c>
      <c r="AA138" s="463">
        <f t="shared" si="23"/>
        <v>0</v>
      </c>
      <c r="AB138" s="463">
        <f t="shared" si="23"/>
        <v>0</v>
      </c>
      <c r="AC138" s="463">
        <f t="shared" si="23"/>
        <v>0</v>
      </c>
      <c r="AD138" s="463">
        <f t="shared" si="23"/>
        <v>0</v>
      </c>
      <c r="AE138" s="463">
        <f t="shared" si="23"/>
        <v>0</v>
      </c>
      <c r="AF138" s="621">
        <f t="shared" si="23"/>
        <v>0</v>
      </c>
      <c r="AG138" s="573"/>
      <c r="AH138" s="464"/>
      <c r="AI138" s="464"/>
      <c r="AJ138" s="464"/>
      <c r="AK138" s="464"/>
      <c r="AL138" s="465"/>
      <c r="AM138" s="463"/>
      <c r="AN138" s="464"/>
      <c r="AO138" s="464"/>
      <c r="AP138" s="464"/>
      <c r="AQ138" s="575"/>
      <c r="AR138" s="576"/>
      <c r="AS138" s="577"/>
      <c r="AT138" s="575"/>
      <c r="AU138" s="575"/>
      <c r="AV138" s="575"/>
      <c r="AW138" s="575"/>
      <c r="AX138" s="576"/>
      <c r="AY138" s="577"/>
      <c r="AZ138" s="575"/>
      <c r="BA138" s="575"/>
      <c r="BB138" s="575"/>
      <c r="BC138" s="575"/>
      <c r="BD138" s="576"/>
      <c r="BE138" s="577"/>
      <c r="BF138" s="575"/>
      <c r="BG138" s="575"/>
      <c r="BH138" s="575"/>
      <c r="BI138" s="575"/>
      <c r="BJ138" s="578"/>
    </row>
    <row r="139" spans="5:62" s="467" customFormat="1" ht="16.5" hidden="1" customHeight="1">
      <c r="E139" s="454" t="s">
        <v>1215</v>
      </c>
      <c r="F139" s="455"/>
      <c r="G139" s="456"/>
      <c r="H139" s="457"/>
      <c r="I139" s="458" t="s">
        <v>1208</v>
      </c>
      <c r="J139" s="566"/>
      <c r="K139" s="571" t="s">
        <v>1203</v>
      </c>
      <c r="L139" s="460" t="s">
        <v>1191</v>
      </c>
      <c r="M139" s="463">
        <f t="shared" si="22"/>
        <v>0</v>
      </c>
      <c r="N139" s="463">
        <f t="shared" si="22"/>
        <v>0</v>
      </c>
      <c r="O139" s="463">
        <f t="shared" si="22"/>
        <v>0</v>
      </c>
      <c r="P139" s="463">
        <f t="shared" si="22"/>
        <v>0</v>
      </c>
      <c r="Q139" s="463">
        <f t="shared" si="22"/>
        <v>0</v>
      </c>
      <c r="R139" s="463">
        <f t="shared" si="22"/>
        <v>0</v>
      </c>
      <c r="S139" s="463">
        <f t="shared" si="22"/>
        <v>0</v>
      </c>
      <c r="T139" s="463">
        <f t="shared" si="22"/>
        <v>0</v>
      </c>
      <c r="U139" s="463">
        <f t="shared" si="22"/>
        <v>0</v>
      </c>
      <c r="V139" s="463">
        <f t="shared" si="22"/>
        <v>0</v>
      </c>
      <c r="W139" s="463">
        <f t="shared" si="22"/>
        <v>0</v>
      </c>
      <c r="X139" s="463">
        <f t="shared" si="23"/>
        <v>0</v>
      </c>
      <c r="Y139" s="463">
        <f t="shared" si="23"/>
        <v>0</v>
      </c>
      <c r="Z139" s="463">
        <f t="shared" si="23"/>
        <v>0</v>
      </c>
      <c r="AA139" s="463">
        <f t="shared" si="23"/>
        <v>1</v>
      </c>
      <c r="AB139" s="463">
        <f t="shared" si="23"/>
        <v>0</v>
      </c>
      <c r="AC139" s="463">
        <f t="shared" si="23"/>
        <v>0</v>
      </c>
      <c r="AD139" s="463">
        <f t="shared" si="23"/>
        <v>0</v>
      </c>
      <c r="AE139" s="463">
        <f t="shared" si="23"/>
        <v>0</v>
      </c>
      <c r="AF139" s="621">
        <f t="shared" si="23"/>
        <v>0</v>
      </c>
      <c r="AG139" s="573"/>
      <c r="AH139" s="464"/>
      <c r="AI139" s="464"/>
      <c r="AJ139" s="464"/>
      <c r="AK139" s="464"/>
      <c r="AL139" s="465"/>
      <c r="AM139" s="463"/>
      <c r="AN139" s="464"/>
      <c r="AO139" s="464"/>
      <c r="AP139" s="464"/>
      <c r="AQ139" s="464"/>
      <c r="AR139" s="465"/>
      <c r="AS139" s="463"/>
      <c r="AT139" s="464"/>
      <c r="AU139" s="464"/>
      <c r="AV139" s="464"/>
      <c r="AW139" s="464"/>
      <c r="AX139" s="465"/>
      <c r="AY139" s="463"/>
      <c r="AZ139" s="464"/>
      <c r="BA139" s="464"/>
      <c r="BB139" s="464"/>
      <c r="BC139" s="464"/>
      <c r="BD139" s="465"/>
      <c r="BE139" s="463"/>
      <c r="BF139" s="464"/>
      <c r="BG139" s="464"/>
      <c r="BH139" s="464"/>
      <c r="BI139" s="464"/>
      <c r="BJ139" s="466"/>
    </row>
    <row r="140" spans="5:62" s="467" customFormat="1" ht="16.5" hidden="1" customHeight="1">
      <c r="E140" s="454" t="s">
        <v>1215</v>
      </c>
      <c r="F140" s="455"/>
      <c r="G140" s="456"/>
      <c r="H140" s="457"/>
      <c r="I140" s="458" t="s">
        <v>1208</v>
      </c>
      <c r="J140" s="566"/>
      <c r="K140" s="571" t="s">
        <v>1203</v>
      </c>
      <c r="L140" s="460" t="s">
        <v>1191</v>
      </c>
      <c r="M140" s="463">
        <f t="shared" si="22"/>
        <v>0</v>
      </c>
      <c r="N140" s="463">
        <f t="shared" si="22"/>
        <v>0</v>
      </c>
      <c r="O140" s="463">
        <f t="shared" si="22"/>
        <v>0</v>
      </c>
      <c r="P140" s="463">
        <f t="shared" si="22"/>
        <v>0</v>
      </c>
      <c r="Q140" s="463">
        <f t="shared" si="22"/>
        <v>0</v>
      </c>
      <c r="R140" s="463">
        <f t="shared" si="22"/>
        <v>0</v>
      </c>
      <c r="S140" s="463">
        <f t="shared" si="22"/>
        <v>0</v>
      </c>
      <c r="T140" s="463">
        <f t="shared" si="22"/>
        <v>0</v>
      </c>
      <c r="U140" s="463">
        <f t="shared" si="22"/>
        <v>0</v>
      </c>
      <c r="V140" s="463">
        <f t="shared" si="22"/>
        <v>0</v>
      </c>
      <c r="W140" s="463">
        <f t="shared" si="22"/>
        <v>0</v>
      </c>
      <c r="X140" s="463">
        <f t="shared" si="23"/>
        <v>0</v>
      </c>
      <c r="Y140" s="463">
        <f t="shared" si="23"/>
        <v>0</v>
      </c>
      <c r="Z140" s="463">
        <f t="shared" si="23"/>
        <v>0</v>
      </c>
      <c r="AA140" s="463">
        <f t="shared" si="23"/>
        <v>1</v>
      </c>
      <c r="AB140" s="463">
        <f t="shared" si="23"/>
        <v>0</v>
      </c>
      <c r="AC140" s="463">
        <f t="shared" si="23"/>
        <v>0</v>
      </c>
      <c r="AD140" s="463">
        <f t="shared" si="23"/>
        <v>0</v>
      </c>
      <c r="AE140" s="463">
        <f t="shared" si="23"/>
        <v>0</v>
      </c>
      <c r="AF140" s="621">
        <f t="shared" si="23"/>
        <v>0</v>
      </c>
      <c r="AG140" s="573"/>
      <c r="AH140" s="464"/>
      <c r="AI140" s="464"/>
      <c r="AJ140" s="464"/>
      <c r="AK140" s="464"/>
      <c r="AL140" s="465"/>
      <c r="AM140" s="463"/>
      <c r="AN140" s="464"/>
      <c r="AO140" s="464"/>
      <c r="AP140" s="464"/>
      <c r="AQ140" s="464"/>
      <c r="AR140" s="465"/>
      <c r="AS140" s="463"/>
      <c r="AT140" s="464"/>
      <c r="AU140" s="464"/>
      <c r="AV140" s="464"/>
      <c r="AW140" s="464"/>
      <c r="AX140" s="465"/>
      <c r="AY140" s="463"/>
      <c r="AZ140" s="464"/>
      <c r="BA140" s="464"/>
      <c r="BB140" s="464"/>
      <c r="BC140" s="464"/>
      <c r="BD140" s="465"/>
      <c r="BE140" s="463"/>
      <c r="BF140" s="464"/>
      <c r="BG140" s="464"/>
      <c r="BH140" s="464"/>
      <c r="BI140" s="464"/>
      <c r="BJ140" s="466"/>
    </row>
    <row r="141" spans="5:62" s="467" customFormat="1" ht="16.5" hidden="1" customHeight="1">
      <c r="E141" s="454" t="s">
        <v>1215</v>
      </c>
      <c r="F141" s="455"/>
      <c r="G141" s="456"/>
      <c r="H141" s="457"/>
      <c r="I141" s="458" t="s">
        <v>1208</v>
      </c>
      <c r="J141" s="566"/>
      <c r="K141" s="571" t="s">
        <v>1203</v>
      </c>
      <c r="L141" s="460" t="s">
        <v>1191</v>
      </c>
      <c r="M141" s="463">
        <f t="shared" si="22"/>
        <v>0</v>
      </c>
      <c r="N141" s="463">
        <f t="shared" si="22"/>
        <v>0</v>
      </c>
      <c r="O141" s="463">
        <f t="shared" si="22"/>
        <v>0</v>
      </c>
      <c r="P141" s="463">
        <f t="shared" si="22"/>
        <v>0</v>
      </c>
      <c r="Q141" s="463">
        <f t="shared" si="22"/>
        <v>0</v>
      </c>
      <c r="R141" s="463">
        <f t="shared" si="22"/>
        <v>0</v>
      </c>
      <c r="S141" s="463">
        <f t="shared" si="22"/>
        <v>0</v>
      </c>
      <c r="T141" s="463">
        <f t="shared" si="22"/>
        <v>0</v>
      </c>
      <c r="U141" s="463">
        <f t="shared" ref="M141:W156" si="24">+IF($L141=U$10,IF($K141=U$11,1,0),0)</f>
        <v>0</v>
      </c>
      <c r="V141" s="463">
        <f t="shared" si="24"/>
        <v>0</v>
      </c>
      <c r="W141" s="463">
        <f t="shared" si="24"/>
        <v>0</v>
      </c>
      <c r="X141" s="463">
        <f t="shared" si="23"/>
        <v>0</v>
      </c>
      <c r="Y141" s="463">
        <f t="shared" si="23"/>
        <v>0</v>
      </c>
      <c r="Z141" s="463">
        <f t="shared" si="23"/>
        <v>0</v>
      </c>
      <c r="AA141" s="463">
        <f t="shared" si="23"/>
        <v>1</v>
      </c>
      <c r="AB141" s="463">
        <f t="shared" si="23"/>
        <v>0</v>
      </c>
      <c r="AC141" s="463">
        <f t="shared" si="23"/>
        <v>0</v>
      </c>
      <c r="AD141" s="463">
        <f t="shared" si="23"/>
        <v>0</v>
      </c>
      <c r="AE141" s="463">
        <f t="shared" si="23"/>
        <v>0</v>
      </c>
      <c r="AF141" s="621">
        <f t="shared" si="23"/>
        <v>0</v>
      </c>
      <c r="AG141" s="573"/>
      <c r="AH141" s="464"/>
      <c r="AI141" s="464"/>
      <c r="AJ141" s="464"/>
      <c r="AK141" s="464"/>
      <c r="AL141" s="465"/>
      <c r="AM141" s="463"/>
      <c r="AN141" s="464"/>
      <c r="AO141" s="464"/>
      <c r="AP141" s="464"/>
      <c r="AQ141" s="464"/>
      <c r="AR141" s="465"/>
      <c r="AS141" s="463"/>
      <c r="AT141" s="464"/>
      <c r="AU141" s="464"/>
      <c r="AV141" s="464"/>
      <c r="AW141" s="464"/>
      <c r="AX141" s="465"/>
      <c r="AY141" s="463"/>
      <c r="AZ141" s="464"/>
      <c r="BA141" s="464"/>
      <c r="BB141" s="464"/>
      <c r="BC141" s="464"/>
      <c r="BD141" s="465"/>
      <c r="BE141" s="463"/>
      <c r="BF141" s="464"/>
      <c r="BG141" s="464"/>
      <c r="BH141" s="464"/>
      <c r="BI141" s="464"/>
      <c r="BJ141" s="466"/>
    </row>
    <row r="142" spans="5:62" s="467" customFormat="1" ht="16.5" hidden="1" customHeight="1">
      <c r="E142" s="454" t="s">
        <v>1215</v>
      </c>
      <c r="F142" s="455"/>
      <c r="G142" s="456"/>
      <c r="H142" s="457"/>
      <c r="I142" s="458" t="s">
        <v>1208</v>
      </c>
      <c r="J142" s="566"/>
      <c r="K142" s="571" t="s">
        <v>1203</v>
      </c>
      <c r="L142" s="460" t="s">
        <v>1191</v>
      </c>
      <c r="M142" s="463">
        <f t="shared" si="24"/>
        <v>0</v>
      </c>
      <c r="N142" s="463">
        <f t="shared" si="24"/>
        <v>0</v>
      </c>
      <c r="O142" s="463">
        <f t="shared" si="24"/>
        <v>0</v>
      </c>
      <c r="P142" s="463">
        <f t="shared" si="24"/>
        <v>0</v>
      </c>
      <c r="Q142" s="463">
        <f t="shared" si="24"/>
        <v>0</v>
      </c>
      <c r="R142" s="463">
        <f t="shared" si="24"/>
        <v>0</v>
      </c>
      <c r="S142" s="463">
        <f t="shared" si="24"/>
        <v>0</v>
      </c>
      <c r="T142" s="463">
        <f t="shared" si="24"/>
        <v>0</v>
      </c>
      <c r="U142" s="463">
        <f t="shared" si="24"/>
        <v>0</v>
      </c>
      <c r="V142" s="463">
        <f t="shared" si="24"/>
        <v>0</v>
      </c>
      <c r="W142" s="463">
        <f t="shared" si="24"/>
        <v>0</v>
      </c>
      <c r="X142" s="463">
        <f t="shared" si="23"/>
        <v>0</v>
      </c>
      <c r="Y142" s="463">
        <f t="shared" si="23"/>
        <v>0</v>
      </c>
      <c r="Z142" s="463">
        <f t="shared" si="23"/>
        <v>0</v>
      </c>
      <c r="AA142" s="463">
        <f t="shared" si="23"/>
        <v>1</v>
      </c>
      <c r="AB142" s="463">
        <f t="shared" si="23"/>
        <v>0</v>
      </c>
      <c r="AC142" s="463">
        <f t="shared" si="23"/>
        <v>0</v>
      </c>
      <c r="AD142" s="463">
        <f t="shared" si="23"/>
        <v>0</v>
      </c>
      <c r="AE142" s="463">
        <f t="shared" si="23"/>
        <v>0</v>
      </c>
      <c r="AF142" s="621">
        <f t="shared" si="23"/>
        <v>0</v>
      </c>
      <c r="AG142" s="573"/>
      <c r="AH142" s="464"/>
      <c r="AI142" s="464"/>
      <c r="AJ142" s="464"/>
      <c r="AK142" s="464"/>
      <c r="AL142" s="465"/>
      <c r="AM142" s="463"/>
      <c r="AN142" s="464"/>
      <c r="AO142" s="464"/>
      <c r="AP142" s="464"/>
      <c r="AQ142" s="464"/>
      <c r="AR142" s="465"/>
      <c r="AS142" s="463"/>
      <c r="AT142" s="464"/>
      <c r="AU142" s="464"/>
      <c r="AV142" s="464"/>
      <c r="AW142" s="464"/>
      <c r="AX142" s="465"/>
      <c r="AY142" s="463"/>
      <c r="AZ142" s="464"/>
      <c r="BA142" s="464"/>
      <c r="BB142" s="464"/>
      <c r="BC142" s="464"/>
      <c r="BD142" s="465"/>
      <c r="BE142" s="463"/>
      <c r="BF142" s="464"/>
      <c r="BG142" s="464"/>
      <c r="BH142" s="464"/>
      <c r="BI142" s="464"/>
      <c r="BJ142" s="466"/>
    </row>
    <row r="143" spans="5:62" s="467" customFormat="1" ht="16.5" hidden="1" customHeight="1">
      <c r="E143" s="454" t="s">
        <v>1215</v>
      </c>
      <c r="F143" s="455"/>
      <c r="G143" s="456"/>
      <c r="H143" s="457"/>
      <c r="I143" s="458" t="s">
        <v>1208</v>
      </c>
      <c r="J143" s="566"/>
      <c r="K143" s="571" t="s">
        <v>1203</v>
      </c>
      <c r="L143" s="460" t="s">
        <v>1191</v>
      </c>
      <c r="M143" s="463">
        <f t="shared" si="24"/>
        <v>0</v>
      </c>
      <c r="N143" s="463">
        <f t="shared" si="24"/>
        <v>0</v>
      </c>
      <c r="O143" s="463">
        <f t="shared" si="24"/>
        <v>0</v>
      </c>
      <c r="P143" s="463">
        <f t="shared" si="24"/>
        <v>0</v>
      </c>
      <c r="Q143" s="463">
        <f t="shared" si="24"/>
        <v>0</v>
      </c>
      <c r="R143" s="463">
        <f t="shared" si="24"/>
        <v>0</v>
      </c>
      <c r="S143" s="463">
        <f t="shared" si="24"/>
        <v>0</v>
      </c>
      <c r="T143" s="463">
        <f t="shared" si="24"/>
        <v>0</v>
      </c>
      <c r="U143" s="463">
        <f t="shared" si="24"/>
        <v>0</v>
      </c>
      <c r="V143" s="463">
        <f t="shared" si="24"/>
        <v>0</v>
      </c>
      <c r="W143" s="463">
        <f t="shared" si="24"/>
        <v>0</v>
      </c>
      <c r="X143" s="463">
        <f t="shared" si="23"/>
        <v>0</v>
      </c>
      <c r="Y143" s="463">
        <f t="shared" si="23"/>
        <v>0</v>
      </c>
      <c r="Z143" s="463">
        <f t="shared" si="23"/>
        <v>0</v>
      </c>
      <c r="AA143" s="463">
        <f t="shared" si="23"/>
        <v>1</v>
      </c>
      <c r="AB143" s="463">
        <f t="shared" si="23"/>
        <v>0</v>
      </c>
      <c r="AC143" s="463">
        <f t="shared" si="23"/>
        <v>0</v>
      </c>
      <c r="AD143" s="463">
        <f t="shared" si="23"/>
        <v>0</v>
      </c>
      <c r="AE143" s="463">
        <f t="shared" si="23"/>
        <v>0</v>
      </c>
      <c r="AF143" s="621">
        <f t="shared" si="23"/>
        <v>0</v>
      </c>
      <c r="AG143" s="573"/>
      <c r="AH143" s="464"/>
      <c r="AI143" s="464"/>
      <c r="AJ143" s="464"/>
      <c r="AK143" s="464"/>
      <c r="AL143" s="465"/>
      <c r="AM143" s="463"/>
      <c r="AN143" s="464"/>
      <c r="AO143" s="464"/>
      <c r="AP143" s="464"/>
      <c r="AQ143" s="464"/>
      <c r="AR143" s="465"/>
      <c r="AS143" s="463"/>
      <c r="AT143" s="464"/>
      <c r="AU143" s="464"/>
      <c r="AV143" s="464"/>
      <c r="AW143" s="464"/>
      <c r="AX143" s="465"/>
      <c r="AY143" s="463"/>
      <c r="AZ143" s="464"/>
      <c r="BA143" s="464"/>
      <c r="BB143" s="464"/>
      <c r="BC143" s="464"/>
      <c r="BD143" s="465"/>
      <c r="BE143" s="463"/>
      <c r="BF143" s="464"/>
      <c r="BG143" s="464"/>
      <c r="BH143" s="464"/>
      <c r="BI143" s="464"/>
      <c r="BJ143" s="466"/>
    </row>
    <row r="144" spans="5:62" s="467" customFormat="1" ht="16.5" hidden="1" customHeight="1">
      <c r="E144" s="454" t="s">
        <v>1215</v>
      </c>
      <c r="F144" s="455"/>
      <c r="G144" s="456"/>
      <c r="H144" s="457"/>
      <c r="I144" s="458" t="s">
        <v>1209</v>
      </c>
      <c r="J144" s="566"/>
      <c r="K144" s="571" t="s">
        <v>1204</v>
      </c>
      <c r="L144" s="460" t="s">
        <v>1191</v>
      </c>
      <c r="M144" s="463">
        <f t="shared" si="24"/>
        <v>0</v>
      </c>
      <c r="N144" s="463">
        <f t="shared" si="24"/>
        <v>0</v>
      </c>
      <c r="O144" s="463">
        <f t="shared" si="24"/>
        <v>0</v>
      </c>
      <c r="P144" s="463">
        <f t="shared" si="24"/>
        <v>0</v>
      </c>
      <c r="Q144" s="463">
        <f t="shared" si="24"/>
        <v>0</v>
      </c>
      <c r="R144" s="463">
        <f t="shared" si="24"/>
        <v>0</v>
      </c>
      <c r="S144" s="463">
        <f t="shared" si="24"/>
        <v>0</v>
      </c>
      <c r="T144" s="463">
        <f t="shared" si="24"/>
        <v>0</v>
      </c>
      <c r="U144" s="463">
        <f t="shared" si="24"/>
        <v>0</v>
      </c>
      <c r="V144" s="463">
        <f t="shared" si="24"/>
        <v>0</v>
      </c>
      <c r="W144" s="463">
        <f t="shared" si="24"/>
        <v>0</v>
      </c>
      <c r="X144" s="463">
        <f t="shared" si="23"/>
        <v>0</v>
      </c>
      <c r="Y144" s="463">
        <f t="shared" si="23"/>
        <v>0</v>
      </c>
      <c r="Z144" s="463">
        <f t="shared" si="23"/>
        <v>0</v>
      </c>
      <c r="AA144" s="463">
        <f t="shared" si="23"/>
        <v>0</v>
      </c>
      <c r="AB144" s="463">
        <f t="shared" si="23"/>
        <v>1</v>
      </c>
      <c r="AC144" s="463">
        <f t="shared" si="23"/>
        <v>0</v>
      </c>
      <c r="AD144" s="463">
        <f t="shared" si="23"/>
        <v>0</v>
      </c>
      <c r="AE144" s="463">
        <f t="shared" si="23"/>
        <v>0</v>
      </c>
      <c r="AF144" s="621">
        <f t="shared" si="23"/>
        <v>0</v>
      </c>
      <c r="AG144" s="573"/>
      <c r="AH144" s="464"/>
      <c r="AI144" s="464"/>
      <c r="AJ144" s="464"/>
      <c r="AK144" s="464"/>
      <c r="AL144" s="465"/>
      <c r="AM144" s="463"/>
      <c r="AN144" s="464"/>
      <c r="AO144" s="464"/>
      <c r="AP144" s="464"/>
      <c r="AQ144" s="464"/>
      <c r="AR144" s="465"/>
      <c r="AS144" s="463"/>
      <c r="AT144" s="464"/>
      <c r="AU144" s="464"/>
      <c r="AV144" s="464"/>
      <c r="AW144" s="464"/>
      <c r="AX144" s="465"/>
      <c r="AY144" s="463"/>
      <c r="AZ144" s="464"/>
      <c r="BA144" s="464"/>
      <c r="BB144" s="464"/>
      <c r="BC144" s="464"/>
      <c r="BD144" s="465"/>
      <c r="BE144" s="463"/>
      <c r="BF144" s="464"/>
      <c r="BG144" s="464"/>
      <c r="BH144" s="464"/>
      <c r="BI144" s="464"/>
      <c r="BJ144" s="466"/>
    </row>
    <row r="145" spans="5:62" s="467" customFormat="1" ht="16.5" hidden="1" customHeight="1">
      <c r="E145" s="454" t="s">
        <v>1215</v>
      </c>
      <c r="F145" s="455"/>
      <c r="G145" s="456"/>
      <c r="H145" s="457"/>
      <c r="I145" s="458" t="s">
        <v>1209</v>
      </c>
      <c r="J145" s="566"/>
      <c r="K145" s="571" t="s">
        <v>1204</v>
      </c>
      <c r="L145" s="460" t="s">
        <v>1191</v>
      </c>
      <c r="M145" s="463">
        <f t="shared" si="24"/>
        <v>0</v>
      </c>
      <c r="N145" s="463">
        <f t="shared" si="24"/>
        <v>0</v>
      </c>
      <c r="O145" s="463">
        <f t="shared" si="24"/>
        <v>0</v>
      </c>
      <c r="P145" s="463">
        <f t="shared" si="24"/>
        <v>0</v>
      </c>
      <c r="Q145" s="463">
        <f t="shared" si="24"/>
        <v>0</v>
      </c>
      <c r="R145" s="463">
        <f t="shared" si="24"/>
        <v>0</v>
      </c>
      <c r="S145" s="463">
        <f t="shared" si="24"/>
        <v>0</v>
      </c>
      <c r="T145" s="463">
        <f t="shared" si="24"/>
        <v>0</v>
      </c>
      <c r="U145" s="463">
        <f t="shared" si="24"/>
        <v>0</v>
      </c>
      <c r="V145" s="463">
        <f t="shared" si="24"/>
        <v>0</v>
      </c>
      <c r="W145" s="463">
        <f t="shared" si="24"/>
        <v>0</v>
      </c>
      <c r="X145" s="463">
        <f t="shared" si="23"/>
        <v>0</v>
      </c>
      <c r="Y145" s="463">
        <f t="shared" si="23"/>
        <v>0</v>
      </c>
      <c r="Z145" s="463">
        <f t="shared" si="23"/>
        <v>0</v>
      </c>
      <c r="AA145" s="463">
        <f t="shared" si="23"/>
        <v>0</v>
      </c>
      <c r="AB145" s="463">
        <f t="shared" si="23"/>
        <v>1</v>
      </c>
      <c r="AC145" s="463">
        <f t="shared" si="23"/>
        <v>0</v>
      </c>
      <c r="AD145" s="463">
        <f t="shared" si="23"/>
        <v>0</v>
      </c>
      <c r="AE145" s="463">
        <f t="shared" si="23"/>
        <v>0</v>
      </c>
      <c r="AF145" s="621">
        <f t="shared" si="23"/>
        <v>0</v>
      </c>
      <c r="AG145" s="573"/>
      <c r="AH145" s="464"/>
      <c r="AI145" s="464"/>
      <c r="AJ145" s="464"/>
      <c r="AK145" s="464"/>
      <c r="AL145" s="465"/>
      <c r="AM145" s="463"/>
      <c r="AN145" s="464"/>
      <c r="AO145" s="464"/>
      <c r="AP145" s="464"/>
      <c r="AQ145" s="464"/>
      <c r="AR145" s="465"/>
      <c r="AS145" s="463"/>
      <c r="AT145" s="464"/>
      <c r="AU145" s="464"/>
      <c r="AV145" s="464"/>
      <c r="AW145" s="464"/>
      <c r="AX145" s="465"/>
      <c r="AY145" s="463"/>
      <c r="AZ145" s="464"/>
      <c r="BA145" s="464"/>
      <c r="BB145" s="464"/>
      <c r="BC145" s="464"/>
      <c r="BD145" s="465"/>
      <c r="BE145" s="463"/>
      <c r="BF145" s="464"/>
      <c r="BG145" s="464"/>
      <c r="BH145" s="464"/>
      <c r="BI145" s="464"/>
      <c r="BJ145" s="466"/>
    </row>
    <row r="146" spans="5:62" s="467" customFormat="1" ht="16.5" hidden="1" customHeight="1">
      <c r="E146" s="454" t="s">
        <v>1215</v>
      </c>
      <c r="F146" s="455"/>
      <c r="G146" s="456"/>
      <c r="H146" s="457"/>
      <c r="I146" s="458" t="s">
        <v>1208</v>
      </c>
      <c r="J146" s="566"/>
      <c r="K146" s="571" t="s">
        <v>1203</v>
      </c>
      <c r="L146" s="460" t="s">
        <v>1191</v>
      </c>
      <c r="M146" s="463">
        <f t="shared" si="24"/>
        <v>0</v>
      </c>
      <c r="N146" s="463">
        <f t="shared" si="24"/>
        <v>0</v>
      </c>
      <c r="O146" s="463">
        <f t="shared" si="24"/>
        <v>0</v>
      </c>
      <c r="P146" s="463">
        <f t="shared" si="24"/>
        <v>0</v>
      </c>
      <c r="Q146" s="463">
        <f t="shared" si="24"/>
        <v>0</v>
      </c>
      <c r="R146" s="463">
        <f t="shared" si="24"/>
        <v>0</v>
      </c>
      <c r="S146" s="463">
        <f t="shared" si="24"/>
        <v>0</v>
      </c>
      <c r="T146" s="463">
        <f t="shared" si="24"/>
        <v>0</v>
      </c>
      <c r="U146" s="463">
        <f t="shared" si="24"/>
        <v>0</v>
      </c>
      <c r="V146" s="463">
        <f t="shared" si="24"/>
        <v>0</v>
      </c>
      <c r="W146" s="463">
        <f t="shared" si="24"/>
        <v>0</v>
      </c>
      <c r="X146" s="463">
        <f t="shared" si="23"/>
        <v>0</v>
      </c>
      <c r="Y146" s="463">
        <f t="shared" si="23"/>
        <v>0</v>
      </c>
      <c r="Z146" s="463">
        <f t="shared" si="23"/>
        <v>0</v>
      </c>
      <c r="AA146" s="463">
        <f t="shared" si="23"/>
        <v>1</v>
      </c>
      <c r="AB146" s="463">
        <f t="shared" si="23"/>
        <v>0</v>
      </c>
      <c r="AC146" s="463">
        <f t="shared" si="23"/>
        <v>0</v>
      </c>
      <c r="AD146" s="463">
        <f t="shared" si="23"/>
        <v>0</v>
      </c>
      <c r="AE146" s="463">
        <f t="shared" si="23"/>
        <v>0</v>
      </c>
      <c r="AF146" s="621">
        <f t="shared" si="23"/>
        <v>0</v>
      </c>
      <c r="AG146" s="573"/>
      <c r="AH146" s="464"/>
      <c r="AI146" s="464"/>
      <c r="AJ146" s="464"/>
      <c r="AK146" s="464"/>
      <c r="AL146" s="465"/>
      <c r="AM146" s="463"/>
      <c r="AN146" s="464"/>
      <c r="AO146" s="464"/>
      <c r="AP146" s="464"/>
      <c r="AQ146" s="464"/>
      <c r="AR146" s="465"/>
      <c r="AS146" s="463"/>
      <c r="AT146" s="464"/>
      <c r="AU146" s="464"/>
      <c r="AV146" s="464"/>
      <c r="AW146" s="464"/>
      <c r="AX146" s="465"/>
      <c r="AY146" s="463"/>
      <c r="AZ146" s="464"/>
      <c r="BA146" s="464"/>
      <c r="BB146" s="464"/>
      <c r="BC146" s="464"/>
      <c r="BD146" s="465"/>
      <c r="BE146" s="463"/>
      <c r="BF146" s="464"/>
      <c r="BG146" s="464"/>
      <c r="BH146" s="464"/>
      <c r="BI146" s="464"/>
      <c r="BJ146" s="466"/>
    </row>
    <row r="147" spans="5:62" s="467" customFormat="1" ht="16.5" hidden="1" customHeight="1">
      <c r="E147" s="454" t="s">
        <v>1215</v>
      </c>
      <c r="F147" s="455"/>
      <c r="G147" s="456"/>
      <c r="H147" s="457"/>
      <c r="I147" s="458" t="s">
        <v>1218</v>
      </c>
      <c r="J147" s="566"/>
      <c r="K147" s="571" t="s">
        <v>1206</v>
      </c>
      <c r="L147" s="460" t="s">
        <v>1191</v>
      </c>
      <c r="M147" s="463">
        <f t="shared" si="24"/>
        <v>0</v>
      </c>
      <c r="N147" s="463">
        <f t="shared" si="24"/>
        <v>0</v>
      </c>
      <c r="O147" s="463">
        <f t="shared" si="24"/>
        <v>0</v>
      </c>
      <c r="P147" s="463">
        <f t="shared" si="24"/>
        <v>0</v>
      </c>
      <c r="Q147" s="463">
        <f t="shared" si="24"/>
        <v>0</v>
      </c>
      <c r="R147" s="463">
        <f t="shared" si="24"/>
        <v>0</v>
      </c>
      <c r="S147" s="463">
        <f t="shared" si="24"/>
        <v>0</v>
      </c>
      <c r="T147" s="463">
        <f t="shared" si="24"/>
        <v>0</v>
      </c>
      <c r="U147" s="463">
        <f t="shared" si="24"/>
        <v>0</v>
      </c>
      <c r="V147" s="463">
        <f t="shared" si="24"/>
        <v>0</v>
      </c>
      <c r="W147" s="463">
        <f t="shared" si="24"/>
        <v>0</v>
      </c>
      <c r="X147" s="463">
        <f t="shared" si="23"/>
        <v>0</v>
      </c>
      <c r="Y147" s="463">
        <f t="shared" si="23"/>
        <v>0</v>
      </c>
      <c r="Z147" s="463">
        <f t="shared" si="23"/>
        <v>0</v>
      </c>
      <c r="AA147" s="463">
        <f t="shared" si="23"/>
        <v>0</v>
      </c>
      <c r="AB147" s="463">
        <f t="shared" si="23"/>
        <v>0</v>
      </c>
      <c r="AC147" s="463">
        <f t="shared" si="23"/>
        <v>0</v>
      </c>
      <c r="AD147" s="463">
        <f t="shared" si="23"/>
        <v>1</v>
      </c>
      <c r="AE147" s="463">
        <f t="shared" si="23"/>
        <v>0</v>
      </c>
      <c r="AF147" s="621">
        <f t="shared" ref="X147:AF162" si="25">+IF($L147=AF$10,IF($K147=AF$11,1,0),0)</f>
        <v>0</v>
      </c>
      <c r="AG147" s="573"/>
      <c r="AH147" s="464"/>
      <c r="AI147" s="464"/>
      <c r="AJ147" s="464"/>
      <c r="AK147" s="464"/>
      <c r="AL147" s="465"/>
      <c r="AM147" s="463"/>
      <c r="AN147" s="464"/>
      <c r="AO147" s="464"/>
      <c r="AP147" s="464"/>
      <c r="AQ147" s="464"/>
      <c r="AR147" s="465"/>
      <c r="AS147" s="463"/>
      <c r="AT147" s="464"/>
      <c r="AU147" s="464"/>
      <c r="AV147" s="464"/>
      <c r="AW147" s="464"/>
      <c r="AX147" s="465"/>
      <c r="AY147" s="463"/>
      <c r="AZ147" s="464"/>
      <c r="BA147" s="464"/>
      <c r="BB147" s="464"/>
      <c r="BC147" s="464"/>
      <c r="BD147" s="465"/>
      <c r="BE147" s="463"/>
      <c r="BF147" s="464"/>
      <c r="BG147" s="464"/>
      <c r="BH147" s="464"/>
      <c r="BI147" s="464"/>
      <c r="BJ147" s="466"/>
    </row>
    <row r="148" spans="5:62" s="467" customFormat="1" ht="16.5" hidden="1" customHeight="1">
      <c r="E148" s="454" t="s">
        <v>1215</v>
      </c>
      <c r="F148" s="455"/>
      <c r="G148" s="456"/>
      <c r="H148" s="457"/>
      <c r="I148" s="458" t="s">
        <v>1209</v>
      </c>
      <c r="J148" s="566"/>
      <c r="K148" s="571" t="s">
        <v>1204</v>
      </c>
      <c r="L148" s="460" t="s">
        <v>1191</v>
      </c>
      <c r="M148" s="463">
        <f t="shared" si="24"/>
        <v>0</v>
      </c>
      <c r="N148" s="463">
        <f t="shared" si="24"/>
        <v>0</v>
      </c>
      <c r="O148" s="463">
        <f t="shared" si="24"/>
        <v>0</v>
      </c>
      <c r="P148" s="463">
        <f t="shared" si="24"/>
        <v>0</v>
      </c>
      <c r="Q148" s="463">
        <f t="shared" si="24"/>
        <v>0</v>
      </c>
      <c r="R148" s="463">
        <f t="shared" si="24"/>
        <v>0</v>
      </c>
      <c r="S148" s="463">
        <f t="shared" si="24"/>
        <v>0</v>
      </c>
      <c r="T148" s="463">
        <f t="shared" si="24"/>
        <v>0</v>
      </c>
      <c r="U148" s="463">
        <f t="shared" si="24"/>
        <v>0</v>
      </c>
      <c r="V148" s="463">
        <f t="shared" si="24"/>
        <v>0</v>
      </c>
      <c r="W148" s="463">
        <f t="shared" si="24"/>
        <v>0</v>
      </c>
      <c r="X148" s="463">
        <f t="shared" si="25"/>
        <v>0</v>
      </c>
      <c r="Y148" s="463">
        <f t="shared" si="25"/>
        <v>0</v>
      </c>
      <c r="Z148" s="463">
        <f t="shared" si="25"/>
        <v>0</v>
      </c>
      <c r="AA148" s="463">
        <f t="shared" si="25"/>
        <v>0</v>
      </c>
      <c r="AB148" s="463">
        <f t="shared" si="25"/>
        <v>1</v>
      </c>
      <c r="AC148" s="463">
        <f t="shared" si="25"/>
        <v>0</v>
      </c>
      <c r="AD148" s="463">
        <f t="shared" si="25"/>
        <v>0</v>
      </c>
      <c r="AE148" s="463">
        <f t="shared" si="25"/>
        <v>0</v>
      </c>
      <c r="AF148" s="621">
        <f t="shared" si="25"/>
        <v>0</v>
      </c>
      <c r="AG148" s="573"/>
      <c r="AH148" s="464"/>
      <c r="AI148" s="464"/>
      <c r="AJ148" s="464"/>
      <c r="AK148" s="464"/>
      <c r="AL148" s="465"/>
      <c r="AM148" s="463"/>
      <c r="AN148" s="464"/>
      <c r="AO148" s="464"/>
      <c r="AP148" s="464"/>
      <c r="AQ148" s="464"/>
      <c r="AR148" s="465"/>
      <c r="AS148" s="463"/>
      <c r="AT148" s="464"/>
      <c r="AU148" s="464"/>
      <c r="AV148" s="464"/>
      <c r="AW148" s="464"/>
      <c r="AX148" s="465"/>
      <c r="AY148" s="463"/>
      <c r="AZ148" s="464"/>
      <c r="BA148" s="464"/>
      <c r="BB148" s="464"/>
      <c r="BC148" s="464"/>
      <c r="BD148" s="465"/>
      <c r="BE148" s="463"/>
      <c r="BF148" s="464"/>
      <c r="BG148" s="464"/>
      <c r="BH148" s="464"/>
      <c r="BI148" s="464"/>
      <c r="BJ148" s="466"/>
    </row>
    <row r="149" spans="5:62" s="467" customFormat="1" ht="16.5" hidden="1" customHeight="1">
      <c r="E149" s="454" t="s">
        <v>1215</v>
      </c>
      <c r="F149" s="455"/>
      <c r="G149" s="456"/>
      <c r="H149" s="457"/>
      <c r="I149" s="458" t="s">
        <v>1209</v>
      </c>
      <c r="J149" s="566"/>
      <c r="K149" s="571" t="s">
        <v>1204</v>
      </c>
      <c r="L149" s="460" t="s">
        <v>1191</v>
      </c>
      <c r="M149" s="463">
        <f t="shared" si="24"/>
        <v>0</v>
      </c>
      <c r="N149" s="463">
        <f t="shared" si="24"/>
        <v>0</v>
      </c>
      <c r="O149" s="463">
        <f t="shared" si="24"/>
        <v>0</v>
      </c>
      <c r="P149" s="463">
        <f t="shared" si="24"/>
        <v>0</v>
      </c>
      <c r="Q149" s="463">
        <f t="shared" si="24"/>
        <v>0</v>
      </c>
      <c r="R149" s="463">
        <f t="shared" si="24"/>
        <v>0</v>
      </c>
      <c r="S149" s="463">
        <f t="shared" si="24"/>
        <v>0</v>
      </c>
      <c r="T149" s="463">
        <f t="shared" si="24"/>
        <v>0</v>
      </c>
      <c r="U149" s="463">
        <f t="shared" si="24"/>
        <v>0</v>
      </c>
      <c r="V149" s="463">
        <f t="shared" si="24"/>
        <v>0</v>
      </c>
      <c r="W149" s="463">
        <f t="shared" si="24"/>
        <v>0</v>
      </c>
      <c r="X149" s="463">
        <f t="shared" si="25"/>
        <v>0</v>
      </c>
      <c r="Y149" s="463">
        <f t="shared" si="25"/>
        <v>0</v>
      </c>
      <c r="Z149" s="463">
        <f t="shared" si="25"/>
        <v>0</v>
      </c>
      <c r="AA149" s="463">
        <f t="shared" si="25"/>
        <v>0</v>
      </c>
      <c r="AB149" s="463">
        <f t="shared" si="25"/>
        <v>1</v>
      </c>
      <c r="AC149" s="463">
        <f t="shared" si="25"/>
        <v>0</v>
      </c>
      <c r="AD149" s="463">
        <f t="shared" si="25"/>
        <v>0</v>
      </c>
      <c r="AE149" s="463">
        <f t="shared" si="25"/>
        <v>0</v>
      </c>
      <c r="AF149" s="621">
        <f t="shared" si="25"/>
        <v>0</v>
      </c>
      <c r="AG149" s="573"/>
      <c r="AH149" s="464"/>
      <c r="AI149" s="464"/>
      <c r="AJ149" s="464"/>
      <c r="AK149" s="464"/>
      <c r="AL149" s="465"/>
      <c r="AM149" s="463"/>
      <c r="AN149" s="464"/>
      <c r="AO149" s="464"/>
      <c r="AP149" s="464"/>
      <c r="AQ149" s="464"/>
      <c r="AR149" s="465"/>
      <c r="AS149" s="463"/>
      <c r="AT149" s="464"/>
      <c r="AU149" s="464"/>
      <c r="AV149" s="464"/>
      <c r="AW149" s="464"/>
      <c r="AX149" s="465"/>
      <c r="AY149" s="463"/>
      <c r="AZ149" s="464"/>
      <c r="BA149" s="464"/>
      <c r="BB149" s="464"/>
      <c r="BC149" s="464"/>
      <c r="BD149" s="465"/>
      <c r="BE149" s="463"/>
      <c r="BF149" s="464"/>
      <c r="BG149" s="464"/>
      <c r="BH149" s="464"/>
      <c r="BI149" s="464"/>
      <c r="BJ149" s="466"/>
    </row>
    <row r="150" spans="5:62" s="467" customFormat="1" ht="16.5" hidden="1" customHeight="1">
      <c r="E150" s="454" t="s">
        <v>1215</v>
      </c>
      <c r="F150" s="455"/>
      <c r="G150" s="456"/>
      <c r="H150" s="457"/>
      <c r="I150" s="458" t="s">
        <v>1209</v>
      </c>
      <c r="J150" s="566"/>
      <c r="K150" s="571" t="s">
        <v>1204</v>
      </c>
      <c r="L150" s="460" t="s">
        <v>1191</v>
      </c>
      <c r="M150" s="463">
        <f t="shared" si="24"/>
        <v>0</v>
      </c>
      <c r="N150" s="463">
        <f t="shared" si="24"/>
        <v>0</v>
      </c>
      <c r="O150" s="463">
        <f t="shared" si="24"/>
        <v>0</v>
      </c>
      <c r="P150" s="463">
        <f t="shared" si="24"/>
        <v>0</v>
      </c>
      <c r="Q150" s="463">
        <f t="shared" si="24"/>
        <v>0</v>
      </c>
      <c r="R150" s="463">
        <f t="shared" si="24"/>
        <v>0</v>
      </c>
      <c r="S150" s="463">
        <f t="shared" si="24"/>
        <v>0</v>
      </c>
      <c r="T150" s="463">
        <f t="shared" si="24"/>
        <v>0</v>
      </c>
      <c r="U150" s="463">
        <f t="shared" si="24"/>
        <v>0</v>
      </c>
      <c r="V150" s="463">
        <f t="shared" si="24"/>
        <v>0</v>
      </c>
      <c r="W150" s="463">
        <f t="shared" si="24"/>
        <v>0</v>
      </c>
      <c r="X150" s="463">
        <f t="shared" si="25"/>
        <v>0</v>
      </c>
      <c r="Y150" s="463">
        <f t="shared" si="25"/>
        <v>0</v>
      </c>
      <c r="Z150" s="463">
        <f t="shared" si="25"/>
        <v>0</v>
      </c>
      <c r="AA150" s="463">
        <f t="shared" si="25"/>
        <v>0</v>
      </c>
      <c r="AB150" s="463">
        <f t="shared" si="25"/>
        <v>1</v>
      </c>
      <c r="AC150" s="463">
        <f t="shared" si="25"/>
        <v>0</v>
      </c>
      <c r="AD150" s="463">
        <f t="shared" si="25"/>
        <v>0</v>
      </c>
      <c r="AE150" s="463">
        <f t="shared" si="25"/>
        <v>0</v>
      </c>
      <c r="AF150" s="621">
        <f t="shared" si="25"/>
        <v>0</v>
      </c>
      <c r="AG150" s="573"/>
      <c r="AH150" s="464"/>
      <c r="AI150" s="464"/>
      <c r="AJ150" s="464"/>
      <c r="AK150" s="464"/>
      <c r="AL150" s="465"/>
      <c r="AM150" s="463"/>
      <c r="AN150" s="464"/>
      <c r="AO150" s="464"/>
      <c r="AP150" s="464"/>
      <c r="AQ150" s="464"/>
      <c r="AR150" s="465"/>
      <c r="AS150" s="463"/>
      <c r="AT150" s="464"/>
      <c r="AU150" s="464"/>
      <c r="AV150" s="464"/>
      <c r="AW150" s="464"/>
      <c r="AX150" s="465"/>
      <c r="AY150" s="463"/>
      <c r="AZ150" s="464"/>
      <c r="BA150" s="464"/>
      <c r="BB150" s="464"/>
      <c r="BC150" s="464"/>
      <c r="BD150" s="465"/>
      <c r="BE150" s="463"/>
      <c r="BF150" s="464"/>
      <c r="BG150" s="464"/>
      <c r="BH150" s="464"/>
      <c r="BI150" s="464"/>
      <c r="BJ150" s="466"/>
    </row>
    <row r="151" spans="5:62" s="579" customFormat="1" ht="16.5" customHeight="1">
      <c r="E151" s="435" t="s">
        <v>1104</v>
      </c>
      <c r="F151" s="436"/>
      <c r="G151" s="437"/>
      <c r="H151" s="438" t="str">
        <f t="shared" si="16"/>
        <v>-</v>
      </c>
      <c r="I151" s="439"/>
      <c r="J151" s="565"/>
      <c r="K151" s="580"/>
      <c r="L151" s="441"/>
      <c r="M151" s="444">
        <f t="shared" ref="M151:AG151" si="26">SUM(M152:M185)</f>
        <v>12</v>
      </c>
      <c r="N151" s="444">
        <f t="shared" si="26"/>
        <v>3</v>
      </c>
      <c r="O151" s="444">
        <f t="shared" si="26"/>
        <v>3</v>
      </c>
      <c r="P151" s="444">
        <f t="shared" si="26"/>
        <v>0</v>
      </c>
      <c r="Q151" s="444">
        <f t="shared" si="26"/>
        <v>0</v>
      </c>
      <c r="R151" s="444">
        <f t="shared" si="26"/>
        <v>0</v>
      </c>
      <c r="S151" s="444">
        <f t="shared" si="26"/>
        <v>28</v>
      </c>
      <c r="T151" s="444">
        <f t="shared" si="26"/>
        <v>22</v>
      </c>
      <c r="U151" s="444">
        <f t="shared" si="26"/>
        <v>0</v>
      </c>
      <c r="V151" s="444">
        <f t="shared" si="26"/>
        <v>3</v>
      </c>
      <c r="W151" s="444">
        <f t="shared" si="26"/>
        <v>0</v>
      </c>
      <c r="X151" s="444">
        <f t="shared" si="26"/>
        <v>1</v>
      </c>
      <c r="Y151" s="444">
        <f t="shared" si="26"/>
        <v>0</v>
      </c>
      <c r="Z151" s="444">
        <f t="shared" si="26"/>
        <v>0</v>
      </c>
      <c r="AA151" s="444">
        <f t="shared" si="26"/>
        <v>6</v>
      </c>
      <c r="AB151" s="444">
        <f t="shared" si="26"/>
        <v>2</v>
      </c>
      <c r="AC151" s="444">
        <f t="shared" si="26"/>
        <v>0</v>
      </c>
      <c r="AD151" s="444">
        <f t="shared" si="26"/>
        <v>2</v>
      </c>
      <c r="AE151" s="444">
        <f t="shared" si="26"/>
        <v>0</v>
      </c>
      <c r="AF151" s="620">
        <f t="shared" si="26"/>
        <v>0</v>
      </c>
      <c r="AG151" s="619">
        <f t="shared" si="26"/>
        <v>0</v>
      </c>
      <c r="AH151" s="445"/>
      <c r="AI151" s="445"/>
      <c r="AJ151" s="445"/>
      <c r="AK151" s="445"/>
      <c r="AL151" s="446"/>
      <c r="AM151" s="444"/>
      <c r="AN151" s="445"/>
      <c r="AO151" s="445"/>
      <c r="AP151" s="445"/>
      <c r="AQ151" s="445"/>
      <c r="AR151" s="446"/>
      <c r="AS151" s="444"/>
      <c r="AT151" s="445"/>
      <c r="AU151" s="445"/>
      <c r="AV151" s="445"/>
      <c r="AW151" s="445"/>
      <c r="AX151" s="446"/>
      <c r="AY151" s="444"/>
      <c r="AZ151" s="445"/>
      <c r="BA151" s="445"/>
      <c r="BB151" s="445"/>
      <c r="BC151" s="445"/>
      <c r="BD151" s="446"/>
      <c r="BE151" s="444"/>
      <c r="BF151" s="445"/>
      <c r="BG151" s="445"/>
      <c r="BH151" s="445">
        <f>+IF($I151=BH$10,IF($L151=BH$11,#REF!,0),0)</f>
        <v>0</v>
      </c>
      <c r="BI151" s="445">
        <f>+IF($I151=BI$10,IF($L151=BI$11,#REF!,0),0)</f>
        <v>0</v>
      </c>
      <c r="BJ151" s="468">
        <f>+IF($I151=BJ$10,IF($L151=BJ$11,#REF!,0),0)</f>
        <v>0</v>
      </c>
    </row>
    <row r="152" spans="5:62" s="467" customFormat="1" ht="16.5" customHeight="1">
      <c r="E152" s="454" t="s">
        <v>1216</v>
      </c>
      <c r="F152" s="455"/>
      <c r="G152" s="456"/>
      <c r="H152" s="457" t="str">
        <f t="shared" si="16"/>
        <v>-</v>
      </c>
      <c r="I152" s="458" t="s">
        <v>1194</v>
      </c>
      <c r="J152" s="566" t="s">
        <v>1192</v>
      </c>
      <c r="K152" s="571">
        <v>100</v>
      </c>
      <c r="L152" s="460" t="s">
        <v>1188</v>
      </c>
      <c r="M152" s="463">
        <f t="shared" si="24"/>
        <v>1</v>
      </c>
      <c r="N152" s="463">
        <f t="shared" si="24"/>
        <v>0</v>
      </c>
      <c r="O152" s="463">
        <f t="shared" si="24"/>
        <v>0</v>
      </c>
      <c r="P152" s="463">
        <f t="shared" si="24"/>
        <v>0</v>
      </c>
      <c r="Q152" s="463">
        <f t="shared" si="24"/>
        <v>0</v>
      </c>
      <c r="R152" s="463">
        <f t="shared" si="24"/>
        <v>0</v>
      </c>
      <c r="S152" s="463">
        <f t="shared" si="24"/>
        <v>0</v>
      </c>
      <c r="T152" s="463">
        <f t="shared" si="24"/>
        <v>0</v>
      </c>
      <c r="U152" s="463">
        <f t="shared" si="24"/>
        <v>0</v>
      </c>
      <c r="V152" s="463">
        <f t="shared" si="24"/>
        <v>0</v>
      </c>
      <c r="W152" s="463">
        <f t="shared" si="24"/>
        <v>0</v>
      </c>
      <c r="X152" s="463">
        <f t="shared" si="25"/>
        <v>0</v>
      </c>
      <c r="Y152" s="463">
        <f t="shared" si="25"/>
        <v>0</v>
      </c>
      <c r="Z152" s="463">
        <f t="shared" si="25"/>
        <v>0</v>
      </c>
      <c r="AA152" s="463">
        <f t="shared" si="25"/>
        <v>0</v>
      </c>
      <c r="AB152" s="463">
        <f t="shared" si="25"/>
        <v>0</v>
      </c>
      <c r="AC152" s="463">
        <f t="shared" si="25"/>
        <v>0</v>
      </c>
      <c r="AD152" s="463">
        <f t="shared" si="25"/>
        <v>0</v>
      </c>
      <c r="AE152" s="463">
        <f t="shared" si="25"/>
        <v>0</v>
      </c>
      <c r="AF152" s="621">
        <f t="shared" si="25"/>
        <v>0</v>
      </c>
      <c r="AG152" s="573"/>
      <c r="AH152" s="464"/>
      <c r="AI152" s="464"/>
      <c r="AJ152" s="464"/>
      <c r="AK152" s="464"/>
      <c r="AL152" s="465"/>
      <c r="AM152" s="463"/>
      <c r="AN152" s="464"/>
      <c r="AO152" s="464"/>
      <c r="AP152" s="464"/>
      <c r="AQ152" s="464"/>
      <c r="AR152" s="465"/>
      <c r="AS152" s="463"/>
      <c r="AT152" s="464"/>
      <c r="AU152" s="464"/>
      <c r="AV152" s="464"/>
      <c r="AW152" s="464"/>
      <c r="AX152" s="465"/>
      <c r="AY152" s="463"/>
      <c r="AZ152" s="464"/>
      <c r="BA152" s="464"/>
      <c r="BB152" s="464"/>
      <c r="BC152" s="464"/>
      <c r="BD152" s="465"/>
      <c r="BE152" s="463"/>
      <c r="BF152" s="464"/>
      <c r="BG152" s="464"/>
      <c r="BH152" s="464">
        <f>+IF($I152=BH$10,IF($L152=BH$11,#REF!,0),0)</f>
        <v>0</v>
      </c>
      <c r="BI152" s="464">
        <f>+IF($I152=BI$10,IF($L152=BI$11,#REF!,0),0)</f>
        <v>0</v>
      </c>
      <c r="BJ152" s="466">
        <f>+IF($I152=BJ$10,IF($L152=BJ$11,#REF!,0),0)</f>
        <v>0</v>
      </c>
    </row>
    <row r="153" spans="5:62" s="467" customFormat="1" ht="16.5" customHeight="1">
      <c r="E153" s="454" t="s">
        <v>1216</v>
      </c>
      <c r="F153" s="455"/>
      <c r="G153" s="456"/>
      <c r="H153" s="457"/>
      <c r="I153" s="458" t="s">
        <v>1193</v>
      </c>
      <c r="J153" s="566" t="s">
        <v>1192</v>
      </c>
      <c r="K153" s="571">
        <v>150</v>
      </c>
      <c r="L153" s="460" t="s">
        <v>1188</v>
      </c>
      <c r="M153" s="463">
        <f t="shared" si="24"/>
        <v>0</v>
      </c>
      <c r="N153" s="463">
        <f t="shared" si="24"/>
        <v>1</v>
      </c>
      <c r="O153" s="463">
        <f t="shared" si="24"/>
        <v>0</v>
      </c>
      <c r="P153" s="463">
        <f t="shared" si="24"/>
        <v>0</v>
      </c>
      <c r="Q153" s="463">
        <f t="shared" si="24"/>
        <v>0</v>
      </c>
      <c r="R153" s="463">
        <f t="shared" si="24"/>
        <v>0</v>
      </c>
      <c r="S153" s="463">
        <f t="shared" si="24"/>
        <v>0</v>
      </c>
      <c r="T153" s="463">
        <f t="shared" si="24"/>
        <v>0</v>
      </c>
      <c r="U153" s="463">
        <f t="shared" si="24"/>
        <v>0</v>
      </c>
      <c r="V153" s="463">
        <f t="shared" si="24"/>
        <v>0</v>
      </c>
      <c r="W153" s="463">
        <f t="shared" si="24"/>
        <v>0</v>
      </c>
      <c r="X153" s="463">
        <f t="shared" si="25"/>
        <v>0</v>
      </c>
      <c r="Y153" s="463">
        <f t="shared" si="25"/>
        <v>0</v>
      </c>
      <c r="Z153" s="463">
        <f t="shared" si="25"/>
        <v>0</v>
      </c>
      <c r="AA153" s="463">
        <f t="shared" si="25"/>
        <v>0</v>
      </c>
      <c r="AB153" s="463">
        <f t="shared" si="25"/>
        <v>0</v>
      </c>
      <c r="AC153" s="463">
        <f t="shared" si="25"/>
        <v>0</v>
      </c>
      <c r="AD153" s="463">
        <f t="shared" si="25"/>
        <v>0</v>
      </c>
      <c r="AE153" s="463">
        <f t="shared" si="25"/>
        <v>0</v>
      </c>
      <c r="AF153" s="621">
        <f t="shared" si="25"/>
        <v>0</v>
      </c>
      <c r="AG153" s="573"/>
      <c r="AH153" s="464"/>
      <c r="AI153" s="464"/>
      <c r="AJ153" s="464"/>
      <c r="AK153" s="464"/>
      <c r="AL153" s="465"/>
      <c r="AM153" s="463"/>
      <c r="AN153" s="464"/>
      <c r="AO153" s="464"/>
      <c r="AP153" s="464"/>
      <c r="AQ153" s="464"/>
      <c r="AR153" s="465"/>
      <c r="AS153" s="463"/>
      <c r="AT153" s="464"/>
      <c r="AU153" s="464"/>
      <c r="AV153" s="464"/>
      <c r="AW153" s="464"/>
      <c r="AX153" s="465"/>
      <c r="AY153" s="463"/>
      <c r="AZ153" s="464"/>
      <c r="BA153" s="464"/>
      <c r="BB153" s="464"/>
      <c r="BC153" s="464"/>
      <c r="BD153" s="465"/>
      <c r="BE153" s="463"/>
      <c r="BF153" s="464"/>
      <c r="BG153" s="464"/>
      <c r="BH153" s="464"/>
      <c r="BI153" s="464"/>
      <c r="BJ153" s="466"/>
    </row>
    <row r="154" spans="5:62" s="467" customFormat="1" ht="16.5" customHeight="1">
      <c r="E154" s="454" t="s">
        <v>1216</v>
      </c>
      <c r="F154" s="455"/>
      <c r="G154" s="456"/>
      <c r="H154" s="457"/>
      <c r="I154" s="458" t="s">
        <v>1193</v>
      </c>
      <c r="J154" s="566" t="s">
        <v>1192</v>
      </c>
      <c r="K154" s="571">
        <v>150</v>
      </c>
      <c r="L154" s="460" t="s">
        <v>1188</v>
      </c>
      <c r="M154" s="463">
        <f t="shared" si="24"/>
        <v>0</v>
      </c>
      <c r="N154" s="463">
        <f t="shared" si="24"/>
        <v>1</v>
      </c>
      <c r="O154" s="463">
        <f t="shared" si="24"/>
        <v>0</v>
      </c>
      <c r="P154" s="463">
        <f t="shared" si="24"/>
        <v>0</v>
      </c>
      <c r="Q154" s="463">
        <f t="shared" si="24"/>
        <v>0</v>
      </c>
      <c r="R154" s="463">
        <f t="shared" si="24"/>
        <v>0</v>
      </c>
      <c r="S154" s="463">
        <f t="shared" si="24"/>
        <v>0</v>
      </c>
      <c r="T154" s="463">
        <f t="shared" si="24"/>
        <v>0</v>
      </c>
      <c r="U154" s="463">
        <f t="shared" si="24"/>
        <v>0</v>
      </c>
      <c r="V154" s="463">
        <f t="shared" si="24"/>
        <v>0</v>
      </c>
      <c r="W154" s="463">
        <f t="shared" si="24"/>
        <v>0</v>
      </c>
      <c r="X154" s="463">
        <f t="shared" si="25"/>
        <v>0</v>
      </c>
      <c r="Y154" s="463">
        <f t="shared" si="25"/>
        <v>0</v>
      </c>
      <c r="Z154" s="463">
        <f t="shared" si="25"/>
        <v>0</v>
      </c>
      <c r="AA154" s="463">
        <f t="shared" si="25"/>
        <v>0</v>
      </c>
      <c r="AB154" s="463">
        <f t="shared" si="25"/>
        <v>0</v>
      </c>
      <c r="AC154" s="463">
        <f t="shared" si="25"/>
        <v>0</v>
      </c>
      <c r="AD154" s="463">
        <f t="shared" si="25"/>
        <v>0</v>
      </c>
      <c r="AE154" s="463">
        <f t="shared" si="25"/>
        <v>0</v>
      </c>
      <c r="AF154" s="621">
        <f t="shared" si="25"/>
        <v>0</v>
      </c>
      <c r="AG154" s="573"/>
      <c r="AH154" s="464"/>
      <c r="AI154" s="464"/>
      <c r="AJ154" s="464"/>
      <c r="AK154" s="464"/>
      <c r="AL154" s="465"/>
      <c r="AM154" s="463"/>
      <c r="AN154" s="464"/>
      <c r="AO154" s="464"/>
      <c r="AP154" s="464"/>
      <c r="AQ154" s="464"/>
      <c r="AR154" s="465"/>
      <c r="AS154" s="463"/>
      <c r="AT154" s="464"/>
      <c r="AU154" s="464"/>
      <c r="AV154" s="464"/>
      <c r="AW154" s="464"/>
      <c r="AX154" s="465"/>
      <c r="AY154" s="463"/>
      <c r="AZ154" s="464"/>
      <c r="BA154" s="464"/>
      <c r="BB154" s="464"/>
      <c r="BC154" s="464"/>
      <c r="BD154" s="465"/>
      <c r="BE154" s="463"/>
      <c r="BF154" s="464"/>
      <c r="BG154" s="464"/>
      <c r="BH154" s="464"/>
      <c r="BI154" s="464"/>
      <c r="BJ154" s="466"/>
    </row>
    <row r="155" spans="5:62" s="467" customFormat="1" ht="16.5" customHeight="1">
      <c r="E155" s="454" t="s">
        <v>1216</v>
      </c>
      <c r="F155" s="455"/>
      <c r="G155" s="456"/>
      <c r="H155" s="457"/>
      <c r="I155" s="458" t="s">
        <v>1194</v>
      </c>
      <c r="J155" s="566" t="s">
        <v>1192</v>
      </c>
      <c r="K155" s="571">
        <v>100</v>
      </c>
      <c r="L155" s="460" t="s">
        <v>1188</v>
      </c>
      <c r="M155" s="463">
        <f t="shared" si="24"/>
        <v>1</v>
      </c>
      <c r="N155" s="463">
        <f t="shared" si="24"/>
        <v>0</v>
      </c>
      <c r="O155" s="463">
        <f t="shared" si="24"/>
        <v>0</v>
      </c>
      <c r="P155" s="463">
        <f t="shared" si="24"/>
        <v>0</v>
      </c>
      <c r="Q155" s="463">
        <f t="shared" si="24"/>
        <v>0</v>
      </c>
      <c r="R155" s="463">
        <f t="shared" si="24"/>
        <v>0</v>
      </c>
      <c r="S155" s="463">
        <f t="shared" si="24"/>
        <v>0</v>
      </c>
      <c r="T155" s="463">
        <f t="shared" si="24"/>
        <v>0</v>
      </c>
      <c r="U155" s="463">
        <f t="shared" si="24"/>
        <v>0</v>
      </c>
      <c r="V155" s="463">
        <f t="shared" si="24"/>
        <v>0</v>
      </c>
      <c r="W155" s="463">
        <f t="shared" si="24"/>
        <v>0</v>
      </c>
      <c r="X155" s="463">
        <f t="shared" si="25"/>
        <v>0</v>
      </c>
      <c r="Y155" s="463">
        <f t="shared" si="25"/>
        <v>0</v>
      </c>
      <c r="Z155" s="463">
        <f t="shared" si="25"/>
        <v>0</v>
      </c>
      <c r="AA155" s="463">
        <f t="shared" si="25"/>
        <v>0</v>
      </c>
      <c r="AB155" s="463">
        <f t="shared" si="25"/>
        <v>0</v>
      </c>
      <c r="AC155" s="463">
        <f t="shared" si="25"/>
        <v>0</v>
      </c>
      <c r="AD155" s="463">
        <f t="shared" si="25"/>
        <v>0</v>
      </c>
      <c r="AE155" s="463">
        <f t="shared" si="25"/>
        <v>0</v>
      </c>
      <c r="AF155" s="621">
        <f t="shared" si="25"/>
        <v>0</v>
      </c>
      <c r="AG155" s="573"/>
      <c r="AH155" s="464"/>
      <c r="AI155" s="464"/>
      <c r="AJ155" s="464"/>
      <c r="AK155" s="464"/>
      <c r="AL155" s="465"/>
      <c r="AM155" s="463"/>
      <c r="AN155" s="464"/>
      <c r="AO155" s="464"/>
      <c r="AP155" s="464"/>
      <c r="AQ155" s="464"/>
      <c r="AR155" s="465"/>
      <c r="AS155" s="463"/>
      <c r="AT155" s="464"/>
      <c r="AU155" s="464"/>
      <c r="AV155" s="464"/>
      <c r="AW155" s="464"/>
      <c r="AX155" s="465"/>
      <c r="AY155" s="463"/>
      <c r="AZ155" s="464"/>
      <c r="BA155" s="464"/>
      <c r="BB155" s="464"/>
      <c r="BC155" s="464"/>
      <c r="BD155" s="465"/>
      <c r="BE155" s="463"/>
      <c r="BF155" s="464"/>
      <c r="BG155" s="464"/>
      <c r="BH155" s="464"/>
      <c r="BI155" s="464"/>
      <c r="BJ155" s="466"/>
    </row>
    <row r="156" spans="5:62" s="467" customFormat="1" ht="16.5" customHeight="1">
      <c r="E156" s="454" t="s">
        <v>1216</v>
      </c>
      <c r="F156" s="455"/>
      <c r="G156" s="456"/>
      <c r="H156" s="457"/>
      <c r="I156" s="458" t="s">
        <v>1194</v>
      </c>
      <c r="J156" s="566" t="s">
        <v>1192</v>
      </c>
      <c r="K156" s="571">
        <v>100</v>
      </c>
      <c r="L156" s="460" t="s">
        <v>1188</v>
      </c>
      <c r="M156" s="463">
        <f t="shared" si="24"/>
        <v>1</v>
      </c>
      <c r="N156" s="463">
        <f t="shared" si="24"/>
        <v>0</v>
      </c>
      <c r="O156" s="463">
        <f t="shared" si="24"/>
        <v>0</v>
      </c>
      <c r="P156" s="463">
        <f t="shared" si="24"/>
        <v>0</v>
      </c>
      <c r="Q156" s="463">
        <f t="shared" si="24"/>
        <v>0</v>
      </c>
      <c r="R156" s="463">
        <f t="shared" si="24"/>
        <v>0</v>
      </c>
      <c r="S156" s="463">
        <f t="shared" si="24"/>
        <v>0</v>
      </c>
      <c r="T156" s="463">
        <f t="shared" si="24"/>
        <v>0</v>
      </c>
      <c r="U156" s="463">
        <f t="shared" si="24"/>
        <v>0</v>
      </c>
      <c r="V156" s="463">
        <f t="shared" si="24"/>
        <v>0</v>
      </c>
      <c r="W156" s="463">
        <f t="shared" si="24"/>
        <v>0</v>
      </c>
      <c r="X156" s="463">
        <f t="shared" si="25"/>
        <v>0</v>
      </c>
      <c r="Y156" s="463">
        <f t="shared" si="25"/>
        <v>0</v>
      </c>
      <c r="Z156" s="463">
        <f t="shared" si="25"/>
        <v>0</v>
      </c>
      <c r="AA156" s="463">
        <f t="shared" si="25"/>
        <v>0</v>
      </c>
      <c r="AB156" s="463">
        <f t="shared" si="25"/>
        <v>0</v>
      </c>
      <c r="AC156" s="463">
        <f t="shared" si="25"/>
        <v>0</v>
      </c>
      <c r="AD156" s="463">
        <f t="shared" si="25"/>
        <v>0</v>
      </c>
      <c r="AE156" s="463">
        <f t="shared" si="25"/>
        <v>0</v>
      </c>
      <c r="AF156" s="621">
        <f t="shared" si="25"/>
        <v>0</v>
      </c>
      <c r="AG156" s="573"/>
      <c r="AH156" s="464"/>
      <c r="AI156" s="464"/>
      <c r="AJ156" s="464"/>
      <c r="AK156" s="464"/>
      <c r="AL156" s="465"/>
      <c r="AM156" s="463"/>
      <c r="AN156" s="464"/>
      <c r="AO156" s="464"/>
      <c r="AP156" s="464"/>
      <c r="AQ156" s="464"/>
      <c r="AR156" s="465"/>
      <c r="AS156" s="463"/>
      <c r="AT156" s="464"/>
      <c r="AU156" s="464"/>
      <c r="AV156" s="464"/>
      <c r="AW156" s="464"/>
      <c r="AX156" s="465"/>
      <c r="AY156" s="463"/>
      <c r="AZ156" s="464"/>
      <c r="BA156" s="464"/>
      <c r="BB156" s="464"/>
      <c r="BC156" s="464"/>
      <c r="BD156" s="465"/>
      <c r="BE156" s="463"/>
      <c r="BF156" s="464"/>
      <c r="BG156" s="464"/>
      <c r="BH156" s="464"/>
      <c r="BI156" s="464"/>
      <c r="BJ156" s="466"/>
    </row>
    <row r="157" spans="5:62" s="467" customFormat="1" ht="16.5" customHeight="1">
      <c r="E157" s="454" t="s">
        <v>1216</v>
      </c>
      <c r="F157" s="455"/>
      <c r="G157" s="456"/>
      <c r="H157" s="457"/>
      <c r="I157" s="458" t="s">
        <v>1200</v>
      </c>
      <c r="J157" s="566"/>
      <c r="K157" s="571" t="s">
        <v>1179</v>
      </c>
      <c r="L157" s="460" t="s">
        <v>1190</v>
      </c>
      <c r="M157" s="463">
        <f t="shared" ref="M157:AB181" si="27">+IF($L157=M$10,IF($K157=M$11,1,0),0)</f>
        <v>0</v>
      </c>
      <c r="N157" s="463">
        <f t="shared" si="27"/>
        <v>0</v>
      </c>
      <c r="O157" s="463">
        <f t="shared" si="27"/>
        <v>0</v>
      </c>
      <c r="P157" s="463">
        <f t="shared" si="27"/>
        <v>0</v>
      </c>
      <c r="Q157" s="463">
        <f t="shared" si="27"/>
        <v>0</v>
      </c>
      <c r="R157" s="463">
        <f t="shared" si="27"/>
        <v>0</v>
      </c>
      <c r="S157" s="463">
        <f t="shared" si="27"/>
        <v>0</v>
      </c>
      <c r="T157" s="463">
        <f t="shared" si="27"/>
        <v>0</v>
      </c>
      <c r="U157" s="463">
        <f t="shared" si="27"/>
        <v>0</v>
      </c>
      <c r="V157" s="463">
        <f t="shared" si="27"/>
        <v>1</v>
      </c>
      <c r="W157" s="463">
        <f t="shared" si="27"/>
        <v>0</v>
      </c>
      <c r="X157" s="463">
        <f t="shared" si="25"/>
        <v>0</v>
      </c>
      <c r="Y157" s="463">
        <f t="shared" si="25"/>
        <v>0</v>
      </c>
      <c r="Z157" s="463">
        <f t="shared" si="25"/>
        <v>0</v>
      </c>
      <c r="AA157" s="463">
        <f t="shared" si="25"/>
        <v>0</v>
      </c>
      <c r="AB157" s="463">
        <f t="shared" si="25"/>
        <v>0</v>
      </c>
      <c r="AC157" s="463">
        <f t="shared" si="25"/>
        <v>0</v>
      </c>
      <c r="AD157" s="463">
        <f t="shared" si="25"/>
        <v>0</v>
      </c>
      <c r="AE157" s="463">
        <f t="shared" si="25"/>
        <v>0</v>
      </c>
      <c r="AF157" s="621">
        <f t="shared" si="25"/>
        <v>0</v>
      </c>
      <c r="AG157" s="573"/>
      <c r="AH157" s="464"/>
      <c r="AI157" s="464"/>
      <c r="AJ157" s="464"/>
      <c r="AK157" s="464"/>
      <c r="AL157" s="465"/>
      <c r="AM157" s="463"/>
      <c r="AN157" s="464"/>
      <c r="AO157" s="464"/>
      <c r="AP157" s="464"/>
      <c r="AQ157" s="464"/>
      <c r="AR157" s="465"/>
      <c r="AS157" s="463"/>
      <c r="AT157" s="464"/>
      <c r="AU157" s="464"/>
      <c r="AV157" s="464"/>
      <c r="AW157" s="464"/>
      <c r="AX157" s="465"/>
      <c r="AY157" s="463"/>
      <c r="AZ157" s="464"/>
      <c r="BA157" s="464"/>
      <c r="BB157" s="464"/>
      <c r="BC157" s="464"/>
      <c r="BD157" s="465"/>
      <c r="BE157" s="463"/>
      <c r="BF157" s="464"/>
      <c r="BG157" s="464"/>
      <c r="BH157" s="464"/>
      <c r="BI157" s="464"/>
      <c r="BJ157" s="466"/>
    </row>
    <row r="158" spans="5:62" s="467" customFormat="1" ht="16.5" customHeight="1">
      <c r="E158" s="454" t="s">
        <v>1216</v>
      </c>
      <c r="F158" s="455"/>
      <c r="G158" s="456"/>
      <c r="H158" s="457"/>
      <c r="I158" s="458" t="s">
        <v>1197</v>
      </c>
      <c r="J158" s="566" t="s">
        <v>1198</v>
      </c>
      <c r="K158" s="571">
        <v>200</v>
      </c>
      <c r="L158" s="460" t="s">
        <v>1188</v>
      </c>
      <c r="M158" s="463">
        <f t="shared" si="27"/>
        <v>0</v>
      </c>
      <c r="N158" s="463">
        <f t="shared" si="27"/>
        <v>0</v>
      </c>
      <c r="O158" s="463">
        <f t="shared" si="27"/>
        <v>1</v>
      </c>
      <c r="P158" s="463">
        <f t="shared" si="27"/>
        <v>0</v>
      </c>
      <c r="Q158" s="463">
        <f t="shared" si="27"/>
        <v>0</v>
      </c>
      <c r="R158" s="463">
        <f t="shared" si="27"/>
        <v>0</v>
      </c>
      <c r="S158" s="463">
        <f t="shared" si="27"/>
        <v>0</v>
      </c>
      <c r="T158" s="463">
        <f t="shared" si="27"/>
        <v>0</v>
      </c>
      <c r="U158" s="463">
        <f t="shared" si="27"/>
        <v>0</v>
      </c>
      <c r="V158" s="463">
        <f t="shared" si="27"/>
        <v>0</v>
      </c>
      <c r="W158" s="463">
        <f t="shared" si="27"/>
        <v>0</v>
      </c>
      <c r="X158" s="463">
        <f t="shared" si="25"/>
        <v>0</v>
      </c>
      <c r="Y158" s="463">
        <f t="shared" si="25"/>
        <v>0</v>
      </c>
      <c r="Z158" s="463">
        <f t="shared" si="25"/>
        <v>0</v>
      </c>
      <c r="AA158" s="463">
        <f t="shared" si="25"/>
        <v>0</v>
      </c>
      <c r="AB158" s="463">
        <f t="shared" si="25"/>
        <v>0</v>
      </c>
      <c r="AC158" s="463">
        <f t="shared" si="25"/>
        <v>0</v>
      </c>
      <c r="AD158" s="463">
        <f t="shared" si="25"/>
        <v>0</v>
      </c>
      <c r="AE158" s="463">
        <f t="shared" si="25"/>
        <v>0</v>
      </c>
      <c r="AF158" s="621">
        <f t="shared" si="25"/>
        <v>0</v>
      </c>
      <c r="AG158" s="573"/>
      <c r="AH158" s="464"/>
      <c r="AI158" s="464"/>
      <c r="AJ158" s="464"/>
      <c r="AK158" s="464"/>
      <c r="AL158" s="465"/>
      <c r="AM158" s="463"/>
      <c r="AN158" s="464"/>
      <c r="AO158" s="464"/>
      <c r="AP158" s="464"/>
      <c r="AQ158" s="464"/>
      <c r="AR158" s="465"/>
      <c r="AS158" s="463"/>
      <c r="AT158" s="464"/>
      <c r="AU158" s="464"/>
      <c r="AV158" s="464"/>
      <c r="AW158" s="464"/>
      <c r="AX158" s="465"/>
      <c r="AY158" s="463"/>
      <c r="AZ158" s="464"/>
      <c r="BA158" s="464"/>
      <c r="BB158" s="464"/>
      <c r="BC158" s="464"/>
      <c r="BD158" s="465"/>
      <c r="BE158" s="463"/>
      <c r="BF158" s="464"/>
      <c r="BG158" s="464"/>
      <c r="BH158" s="464"/>
      <c r="BI158" s="464"/>
      <c r="BJ158" s="466"/>
    </row>
    <row r="159" spans="5:62" s="467" customFormat="1" ht="16.5" customHeight="1">
      <c r="E159" s="454" t="s">
        <v>1216</v>
      </c>
      <c r="F159" s="455"/>
      <c r="G159" s="456"/>
      <c r="H159" s="457"/>
      <c r="I159" s="458" t="s">
        <v>1200</v>
      </c>
      <c r="J159" s="566"/>
      <c r="K159" s="571" t="s">
        <v>1179</v>
      </c>
      <c r="L159" s="460" t="s">
        <v>1190</v>
      </c>
      <c r="M159" s="463">
        <f t="shared" si="27"/>
        <v>0</v>
      </c>
      <c r="N159" s="463">
        <f t="shared" si="27"/>
        <v>0</v>
      </c>
      <c r="O159" s="463">
        <f t="shared" si="27"/>
        <v>0</v>
      </c>
      <c r="P159" s="463">
        <f t="shared" si="27"/>
        <v>0</v>
      </c>
      <c r="Q159" s="463">
        <f t="shared" si="27"/>
        <v>0</v>
      </c>
      <c r="R159" s="463">
        <f t="shared" si="27"/>
        <v>0</v>
      </c>
      <c r="S159" s="463">
        <f t="shared" si="27"/>
        <v>0</v>
      </c>
      <c r="T159" s="463">
        <f t="shared" si="27"/>
        <v>0</v>
      </c>
      <c r="U159" s="463">
        <f t="shared" si="27"/>
        <v>0</v>
      </c>
      <c r="V159" s="463">
        <f t="shared" si="27"/>
        <v>1</v>
      </c>
      <c r="W159" s="463">
        <f t="shared" si="27"/>
        <v>0</v>
      </c>
      <c r="X159" s="463">
        <f t="shared" si="25"/>
        <v>0</v>
      </c>
      <c r="Y159" s="463">
        <f t="shared" si="25"/>
        <v>0</v>
      </c>
      <c r="Z159" s="463">
        <f t="shared" si="25"/>
        <v>0</v>
      </c>
      <c r="AA159" s="463">
        <f t="shared" si="25"/>
        <v>0</v>
      </c>
      <c r="AB159" s="463">
        <f t="shared" si="25"/>
        <v>0</v>
      </c>
      <c r="AC159" s="463">
        <f t="shared" si="25"/>
        <v>0</v>
      </c>
      <c r="AD159" s="463">
        <f t="shared" si="25"/>
        <v>0</v>
      </c>
      <c r="AE159" s="463">
        <f t="shared" si="25"/>
        <v>0</v>
      </c>
      <c r="AF159" s="621">
        <f t="shared" si="25"/>
        <v>0</v>
      </c>
      <c r="AG159" s="573"/>
      <c r="AH159" s="464"/>
      <c r="AI159" s="464"/>
      <c r="AJ159" s="464"/>
      <c r="AK159" s="464"/>
      <c r="AL159" s="465"/>
      <c r="AM159" s="463"/>
      <c r="AN159" s="464"/>
      <c r="AO159" s="464"/>
      <c r="AP159" s="464"/>
      <c r="AQ159" s="464"/>
      <c r="AR159" s="465"/>
      <c r="AS159" s="463"/>
      <c r="AT159" s="464"/>
      <c r="AU159" s="464"/>
      <c r="AV159" s="464"/>
      <c r="AW159" s="464"/>
      <c r="AX159" s="465"/>
      <c r="AY159" s="463"/>
      <c r="AZ159" s="464"/>
      <c r="BA159" s="464"/>
      <c r="BB159" s="464"/>
      <c r="BC159" s="464"/>
      <c r="BD159" s="465"/>
      <c r="BE159" s="463"/>
      <c r="BF159" s="464"/>
      <c r="BG159" s="464"/>
      <c r="BH159" s="464"/>
      <c r="BI159" s="464"/>
      <c r="BJ159" s="466"/>
    </row>
    <row r="160" spans="5:62" s="467" customFormat="1" ht="16.5" customHeight="1">
      <c r="E160" s="454" t="s">
        <v>1216</v>
      </c>
      <c r="F160" s="455"/>
      <c r="G160" s="456"/>
      <c r="H160" s="457"/>
      <c r="I160" s="458" t="s">
        <v>1193</v>
      </c>
      <c r="J160" s="566" t="s">
        <v>1192</v>
      </c>
      <c r="K160" s="571">
        <v>150</v>
      </c>
      <c r="L160" s="460" t="s">
        <v>1188</v>
      </c>
      <c r="M160" s="463">
        <f t="shared" si="27"/>
        <v>0</v>
      </c>
      <c r="N160" s="463">
        <f t="shared" si="27"/>
        <v>1</v>
      </c>
      <c r="O160" s="463">
        <f t="shared" si="27"/>
        <v>0</v>
      </c>
      <c r="P160" s="463">
        <f t="shared" si="27"/>
        <v>0</v>
      </c>
      <c r="Q160" s="463">
        <f t="shared" si="27"/>
        <v>0</v>
      </c>
      <c r="R160" s="463">
        <f t="shared" si="27"/>
        <v>0</v>
      </c>
      <c r="S160" s="463">
        <f t="shared" si="27"/>
        <v>0</v>
      </c>
      <c r="T160" s="463">
        <f t="shared" si="27"/>
        <v>0</v>
      </c>
      <c r="U160" s="463">
        <f t="shared" si="27"/>
        <v>0</v>
      </c>
      <c r="V160" s="463">
        <f t="shared" si="27"/>
        <v>0</v>
      </c>
      <c r="W160" s="463">
        <f t="shared" si="27"/>
        <v>0</v>
      </c>
      <c r="X160" s="463">
        <f t="shared" si="25"/>
        <v>0</v>
      </c>
      <c r="Y160" s="463">
        <f t="shared" si="25"/>
        <v>0</v>
      </c>
      <c r="Z160" s="463">
        <f t="shared" si="25"/>
        <v>0</v>
      </c>
      <c r="AA160" s="463">
        <f t="shared" si="25"/>
        <v>0</v>
      </c>
      <c r="AB160" s="463">
        <f t="shared" si="25"/>
        <v>0</v>
      </c>
      <c r="AC160" s="463">
        <f t="shared" si="25"/>
        <v>0</v>
      </c>
      <c r="AD160" s="463">
        <f t="shared" si="25"/>
        <v>0</v>
      </c>
      <c r="AE160" s="463">
        <f t="shared" si="25"/>
        <v>0</v>
      </c>
      <c r="AF160" s="621">
        <f t="shared" si="25"/>
        <v>0</v>
      </c>
      <c r="AG160" s="573"/>
      <c r="AH160" s="464"/>
      <c r="AI160" s="464"/>
      <c r="AJ160" s="464"/>
      <c r="AK160" s="464"/>
      <c r="AL160" s="465"/>
      <c r="AM160" s="463"/>
      <c r="AN160" s="464"/>
      <c r="AO160" s="464"/>
      <c r="AP160" s="464"/>
      <c r="AQ160" s="464"/>
      <c r="AR160" s="465"/>
      <c r="AS160" s="463"/>
      <c r="AT160" s="464"/>
      <c r="AU160" s="464"/>
      <c r="AV160" s="464"/>
      <c r="AW160" s="464"/>
      <c r="AX160" s="465"/>
      <c r="AY160" s="463"/>
      <c r="AZ160" s="464"/>
      <c r="BA160" s="464"/>
      <c r="BB160" s="464"/>
      <c r="BC160" s="464"/>
      <c r="BD160" s="465"/>
      <c r="BE160" s="463"/>
      <c r="BF160" s="464"/>
      <c r="BG160" s="464"/>
      <c r="BH160" s="464"/>
      <c r="BI160" s="464"/>
      <c r="BJ160" s="466"/>
    </row>
    <row r="161" spans="5:62" s="467" customFormat="1" ht="16.5" customHeight="1">
      <c r="E161" s="454" t="s">
        <v>1216</v>
      </c>
      <c r="F161" s="455"/>
      <c r="G161" s="456"/>
      <c r="H161" s="457"/>
      <c r="I161" s="458" t="s">
        <v>1194</v>
      </c>
      <c r="J161" s="566" t="s">
        <v>1192</v>
      </c>
      <c r="K161" s="571">
        <v>100</v>
      </c>
      <c r="L161" s="460" t="s">
        <v>1188</v>
      </c>
      <c r="M161" s="463">
        <f t="shared" si="27"/>
        <v>1</v>
      </c>
      <c r="N161" s="463">
        <f t="shared" si="27"/>
        <v>0</v>
      </c>
      <c r="O161" s="463">
        <f t="shared" si="27"/>
        <v>0</v>
      </c>
      <c r="P161" s="463">
        <f t="shared" si="27"/>
        <v>0</v>
      </c>
      <c r="Q161" s="463">
        <f t="shared" si="27"/>
        <v>0</v>
      </c>
      <c r="R161" s="463">
        <f t="shared" si="27"/>
        <v>0</v>
      </c>
      <c r="S161" s="463">
        <f t="shared" si="27"/>
        <v>0</v>
      </c>
      <c r="T161" s="463">
        <f t="shared" si="27"/>
        <v>0</v>
      </c>
      <c r="U161" s="463">
        <f t="shared" si="27"/>
        <v>0</v>
      </c>
      <c r="V161" s="463">
        <f t="shared" si="27"/>
        <v>0</v>
      </c>
      <c r="W161" s="463">
        <f t="shared" si="27"/>
        <v>0</v>
      </c>
      <c r="X161" s="463">
        <f t="shared" si="25"/>
        <v>0</v>
      </c>
      <c r="Y161" s="463">
        <f t="shared" si="25"/>
        <v>0</v>
      </c>
      <c r="Z161" s="463">
        <f t="shared" si="25"/>
        <v>0</v>
      </c>
      <c r="AA161" s="463">
        <f t="shared" si="25"/>
        <v>0</v>
      </c>
      <c r="AB161" s="463">
        <f t="shared" si="25"/>
        <v>0</v>
      </c>
      <c r="AC161" s="463">
        <f t="shared" si="25"/>
        <v>0</v>
      </c>
      <c r="AD161" s="463">
        <f t="shared" si="25"/>
        <v>0</v>
      </c>
      <c r="AE161" s="463">
        <f t="shared" si="25"/>
        <v>0</v>
      </c>
      <c r="AF161" s="621">
        <f t="shared" si="25"/>
        <v>0</v>
      </c>
      <c r="AG161" s="573"/>
      <c r="AH161" s="464"/>
      <c r="AI161" s="464"/>
      <c r="AJ161" s="464"/>
      <c r="AK161" s="464"/>
      <c r="AL161" s="465"/>
      <c r="AM161" s="463"/>
      <c r="AN161" s="464"/>
      <c r="AO161" s="464"/>
      <c r="AP161" s="464"/>
      <c r="AQ161" s="464"/>
      <c r="AR161" s="465"/>
      <c r="AS161" s="463"/>
      <c r="AT161" s="464"/>
      <c r="AU161" s="464"/>
      <c r="AV161" s="464"/>
      <c r="AW161" s="464"/>
      <c r="AX161" s="465"/>
      <c r="AY161" s="463"/>
      <c r="AZ161" s="464"/>
      <c r="BA161" s="464"/>
      <c r="BB161" s="464"/>
      <c r="BC161" s="464"/>
      <c r="BD161" s="465"/>
      <c r="BE161" s="463"/>
      <c r="BF161" s="464"/>
      <c r="BG161" s="464"/>
      <c r="BH161" s="464"/>
      <c r="BI161" s="464"/>
      <c r="BJ161" s="466"/>
    </row>
    <row r="162" spans="5:62" s="467" customFormat="1" ht="16.5" customHeight="1">
      <c r="E162" s="454" t="s">
        <v>1216</v>
      </c>
      <c r="F162" s="455"/>
      <c r="G162" s="456"/>
      <c r="H162" s="457"/>
      <c r="I162" s="458" t="s">
        <v>1197</v>
      </c>
      <c r="J162" s="566" t="s">
        <v>1198</v>
      </c>
      <c r="K162" s="571">
        <v>200</v>
      </c>
      <c r="L162" s="460" t="s">
        <v>1188</v>
      </c>
      <c r="M162" s="463">
        <f t="shared" si="27"/>
        <v>0</v>
      </c>
      <c r="N162" s="463">
        <f t="shared" si="27"/>
        <v>0</v>
      </c>
      <c r="O162" s="463">
        <f t="shared" si="27"/>
        <v>1</v>
      </c>
      <c r="P162" s="463">
        <f t="shared" si="27"/>
        <v>0</v>
      </c>
      <c r="Q162" s="463">
        <f t="shared" si="27"/>
        <v>0</v>
      </c>
      <c r="R162" s="463">
        <f t="shared" si="27"/>
        <v>0</v>
      </c>
      <c r="S162" s="463">
        <f t="shared" si="27"/>
        <v>0</v>
      </c>
      <c r="T162" s="463">
        <f t="shared" si="27"/>
        <v>0</v>
      </c>
      <c r="U162" s="463">
        <f t="shared" si="27"/>
        <v>0</v>
      </c>
      <c r="V162" s="463">
        <f t="shared" si="27"/>
        <v>0</v>
      </c>
      <c r="W162" s="463">
        <f t="shared" si="27"/>
        <v>0</v>
      </c>
      <c r="X162" s="463">
        <f t="shared" si="25"/>
        <v>0</v>
      </c>
      <c r="Y162" s="463">
        <f t="shared" si="25"/>
        <v>0</v>
      </c>
      <c r="Z162" s="463">
        <f t="shared" si="25"/>
        <v>0</v>
      </c>
      <c r="AA162" s="463">
        <f t="shared" si="25"/>
        <v>0</v>
      </c>
      <c r="AB162" s="463">
        <f t="shared" si="25"/>
        <v>0</v>
      </c>
      <c r="AC162" s="463">
        <f t="shared" si="25"/>
        <v>0</v>
      </c>
      <c r="AD162" s="463">
        <f t="shared" si="25"/>
        <v>0</v>
      </c>
      <c r="AE162" s="463">
        <f t="shared" si="25"/>
        <v>0</v>
      </c>
      <c r="AF162" s="621">
        <f t="shared" si="25"/>
        <v>0</v>
      </c>
      <c r="AG162" s="573"/>
      <c r="AH162" s="464"/>
      <c r="AI162" s="464"/>
      <c r="AJ162" s="464"/>
      <c r="AK162" s="464"/>
      <c r="AL162" s="465"/>
      <c r="AM162" s="463"/>
      <c r="AN162" s="464"/>
      <c r="AO162" s="464"/>
      <c r="AP162" s="464"/>
      <c r="AQ162" s="464"/>
      <c r="AR162" s="465"/>
      <c r="AS162" s="463"/>
      <c r="AT162" s="464"/>
      <c r="AU162" s="464"/>
      <c r="AV162" s="464"/>
      <c r="AW162" s="464"/>
      <c r="AX162" s="465"/>
      <c r="AY162" s="463"/>
      <c r="AZ162" s="464"/>
      <c r="BA162" s="464"/>
      <c r="BB162" s="464"/>
      <c r="BC162" s="464"/>
      <c r="BD162" s="465"/>
      <c r="BE162" s="463"/>
      <c r="BF162" s="464"/>
      <c r="BG162" s="464"/>
      <c r="BH162" s="464"/>
      <c r="BI162" s="464"/>
      <c r="BJ162" s="466"/>
    </row>
    <row r="163" spans="5:62" s="467" customFormat="1" ht="16.5" customHeight="1">
      <c r="E163" s="454" t="s">
        <v>1216</v>
      </c>
      <c r="F163" s="455"/>
      <c r="G163" s="456"/>
      <c r="H163" s="457"/>
      <c r="I163" s="458" t="s">
        <v>1199</v>
      </c>
      <c r="J163" s="566"/>
      <c r="K163" s="571" t="s">
        <v>1181</v>
      </c>
      <c r="L163" s="460" t="s">
        <v>1190</v>
      </c>
      <c r="M163" s="463">
        <f t="shared" si="27"/>
        <v>0</v>
      </c>
      <c r="N163" s="463">
        <f t="shared" si="27"/>
        <v>0</v>
      </c>
      <c r="O163" s="463">
        <f t="shared" si="27"/>
        <v>0</v>
      </c>
      <c r="P163" s="463">
        <f t="shared" si="27"/>
        <v>0</v>
      </c>
      <c r="Q163" s="463">
        <f t="shared" si="27"/>
        <v>0</v>
      </c>
      <c r="R163" s="463">
        <f t="shared" si="27"/>
        <v>0</v>
      </c>
      <c r="S163" s="463">
        <f t="shared" si="27"/>
        <v>0</v>
      </c>
      <c r="T163" s="463">
        <f t="shared" si="27"/>
        <v>0</v>
      </c>
      <c r="U163" s="463">
        <f t="shared" si="27"/>
        <v>0</v>
      </c>
      <c r="V163" s="463">
        <f t="shared" si="27"/>
        <v>0</v>
      </c>
      <c r="W163" s="463">
        <f t="shared" si="27"/>
        <v>0</v>
      </c>
      <c r="X163" s="463">
        <f t="shared" si="27"/>
        <v>1</v>
      </c>
      <c r="Y163" s="463">
        <f t="shared" si="27"/>
        <v>0</v>
      </c>
      <c r="Z163" s="463">
        <f t="shared" si="27"/>
        <v>0</v>
      </c>
      <c r="AA163" s="463">
        <f t="shared" si="27"/>
        <v>0</v>
      </c>
      <c r="AB163" s="463">
        <f t="shared" si="27"/>
        <v>0</v>
      </c>
      <c r="AC163" s="463">
        <f t="shared" ref="X163:AF185" si="28">+IF($L163=AC$10,IF($K163=AC$11,1,0),0)</f>
        <v>0</v>
      </c>
      <c r="AD163" s="463">
        <f t="shared" si="28"/>
        <v>0</v>
      </c>
      <c r="AE163" s="463">
        <f t="shared" si="28"/>
        <v>0</v>
      </c>
      <c r="AF163" s="621">
        <f t="shared" si="28"/>
        <v>0</v>
      </c>
      <c r="AG163" s="573"/>
      <c r="AH163" s="464"/>
      <c r="AI163" s="464"/>
      <c r="AJ163" s="464"/>
      <c r="AK163" s="464"/>
      <c r="AL163" s="465"/>
      <c r="AM163" s="463"/>
      <c r="AN163" s="464"/>
      <c r="AO163" s="464"/>
      <c r="AP163" s="464"/>
      <c r="AQ163" s="464"/>
      <c r="AR163" s="465"/>
      <c r="AS163" s="463"/>
      <c r="AT163" s="464"/>
      <c r="AU163" s="464"/>
      <c r="AV163" s="464"/>
      <c r="AW163" s="464"/>
      <c r="AX163" s="465"/>
      <c r="AY163" s="463"/>
      <c r="AZ163" s="464"/>
      <c r="BA163" s="464"/>
      <c r="BB163" s="464"/>
      <c r="BC163" s="464"/>
      <c r="BD163" s="465"/>
      <c r="BE163" s="463"/>
      <c r="BF163" s="464"/>
      <c r="BG163" s="464"/>
      <c r="BH163" s="464"/>
      <c r="BI163" s="464"/>
      <c r="BJ163" s="466"/>
    </row>
    <row r="164" spans="5:62" s="467" customFormat="1" ht="16.5" customHeight="1">
      <c r="E164" s="454" t="s">
        <v>1216</v>
      </c>
      <c r="F164" s="455"/>
      <c r="G164" s="456"/>
      <c r="H164" s="457"/>
      <c r="I164" s="458" t="s">
        <v>1193</v>
      </c>
      <c r="J164" s="566" t="s">
        <v>1192</v>
      </c>
      <c r="K164" s="571">
        <v>100</v>
      </c>
      <c r="L164" s="460" t="s">
        <v>1188</v>
      </c>
      <c r="M164" s="463">
        <f t="shared" si="27"/>
        <v>1</v>
      </c>
      <c r="N164" s="463">
        <f t="shared" si="27"/>
        <v>0</v>
      </c>
      <c r="O164" s="463">
        <f t="shared" si="27"/>
        <v>0</v>
      </c>
      <c r="P164" s="463">
        <f t="shared" si="27"/>
        <v>0</v>
      </c>
      <c r="Q164" s="463">
        <f t="shared" si="27"/>
        <v>0</v>
      </c>
      <c r="R164" s="463">
        <f t="shared" si="27"/>
        <v>0</v>
      </c>
      <c r="S164" s="463">
        <f t="shared" si="27"/>
        <v>0</v>
      </c>
      <c r="T164" s="463">
        <f t="shared" si="27"/>
        <v>0</v>
      </c>
      <c r="U164" s="463">
        <f t="shared" si="27"/>
        <v>0</v>
      </c>
      <c r="V164" s="463">
        <f t="shared" si="27"/>
        <v>0</v>
      </c>
      <c r="W164" s="463">
        <f t="shared" si="27"/>
        <v>0</v>
      </c>
      <c r="X164" s="463">
        <f t="shared" si="28"/>
        <v>0</v>
      </c>
      <c r="Y164" s="463">
        <f t="shared" si="28"/>
        <v>0</v>
      </c>
      <c r="Z164" s="463">
        <f t="shared" si="28"/>
        <v>0</v>
      </c>
      <c r="AA164" s="463">
        <f t="shared" si="28"/>
        <v>0</v>
      </c>
      <c r="AB164" s="463">
        <f t="shared" si="28"/>
        <v>0</v>
      </c>
      <c r="AC164" s="463">
        <f t="shared" si="28"/>
        <v>0</v>
      </c>
      <c r="AD164" s="463">
        <f t="shared" si="28"/>
        <v>0</v>
      </c>
      <c r="AE164" s="463">
        <f t="shared" si="28"/>
        <v>0</v>
      </c>
      <c r="AF164" s="621">
        <f t="shared" si="28"/>
        <v>0</v>
      </c>
      <c r="AG164" s="573"/>
      <c r="AH164" s="464"/>
      <c r="AI164" s="464"/>
      <c r="AJ164" s="464"/>
      <c r="AK164" s="464"/>
      <c r="AL164" s="465"/>
      <c r="AM164" s="463"/>
      <c r="AN164" s="464"/>
      <c r="AO164" s="464"/>
      <c r="AP164" s="464"/>
      <c r="AQ164" s="464"/>
      <c r="AR164" s="465"/>
      <c r="AS164" s="463"/>
      <c r="AT164" s="464"/>
      <c r="AU164" s="464"/>
      <c r="AV164" s="464"/>
      <c r="AW164" s="464"/>
      <c r="AX164" s="465"/>
      <c r="AY164" s="463"/>
      <c r="AZ164" s="464"/>
      <c r="BA164" s="464"/>
      <c r="BB164" s="464"/>
      <c r="BC164" s="464"/>
      <c r="BD164" s="465"/>
      <c r="BE164" s="463"/>
      <c r="BF164" s="464"/>
      <c r="BG164" s="464"/>
      <c r="BH164" s="464"/>
      <c r="BI164" s="464"/>
      <c r="BJ164" s="466"/>
    </row>
    <row r="165" spans="5:62" s="467" customFormat="1" ht="16.5" customHeight="1">
      <c r="E165" s="454" t="s">
        <v>1216</v>
      </c>
      <c r="F165" s="455"/>
      <c r="G165" s="456"/>
      <c r="H165" s="457"/>
      <c r="I165" s="458" t="s">
        <v>1193</v>
      </c>
      <c r="J165" s="566" t="s">
        <v>1192</v>
      </c>
      <c r="K165" s="571">
        <v>100</v>
      </c>
      <c r="L165" s="460" t="s">
        <v>1188</v>
      </c>
      <c r="M165" s="463">
        <f t="shared" si="27"/>
        <v>1</v>
      </c>
      <c r="N165" s="463">
        <f t="shared" si="27"/>
        <v>0</v>
      </c>
      <c r="O165" s="463">
        <f t="shared" si="27"/>
        <v>0</v>
      </c>
      <c r="P165" s="463">
        <f t="shared" si="27"/>
        <v>0</v>
      </c>
      <c r="Q165" s="463">
        <f t="shared" si="27"/>
        <v>0</v>
      </c>
      <c r="R165" s="463">
        <f t="shared" si="27"/>
        <v>0</v>
      </c>
      <c r="S165" s="463">
        <f t="shared" si="27"/>
        <v>0</v>
      </c>
      <c r="T165" s="463">
        <f t="shared" si="27"/>
        <v>0</v>
      </c>
      <c r="U165" s="463">
        <f t="shared" si="27"/>
        <v>0</v>
      </c>
      <c r="V165" s="463">
        <f t="shared" si="27"/>
        <v>0</v>
      </c>
      <c r="W165" s="463">
        <f t="shared" si="27"/>
        <v>0</v>
      </c>
      <c r="X165" s="463">
        <f t="shared" si="28"/>
        <v>0</v>
      </c>
      <c r="Y165" s="463">
        <f t="shared" si="28"/>
        <v>0</v>
      </c>
      <c r="Z165" s="463">
        <f t="shared" si="28"/>
        <v>0</v>
      </c>
      <c r="AA165" s="463">
        <f t="shared" si="28"/>
        <v>0</v>
      </c>
      <c r="AB165" s="463">
        <f t="shared" si="28"/>
        <v>0</v>
      </c>
      <c r="AC165" s="463">
        <f t="shared" si="28"/>
        <v>0</v>
      </c>
      <c r="AD165" s="463">
        <f t="shared" si="28"/>
        <v>0</v>
      </c>
      <c r="AE165" s="463">
        <f t="shared" si="28"/>
        <v>0</v>
      </c>
      <c r="AF165" s="621">
        <f t="shared" si="28"/>
        <v>0</v>
      </c>
      <c r="AG165" s="573"/>
      <c r="AH165" s="464"/>
      <c r="AI165" s="464"/>
      <c r="AJ165" s="464"/>
      <c r="AK165" s="464"/>
      <c r="AL165" s="465"/>
      <c r="AM165" s="463"/>
      <c r="AN165" s="464"/>
      <c r="AO165" s="464"/>
      <c r="AP165" s="464"/>
      <c r="AQ165" s="464"/>
      <c r="AR165" s="465"/>
      <c r="AS165" s="463"/>
      <c r="AT165" s="464"/>
      <c r="AU165" s="464"/>
      <c r="AV165" s="464"/>
      <c r="AW165" s="464"/>
      <c r="AX165" s="465"/>
      <c r="AY165" s="463"/>
      <c r="AZ165" s="464"/>
      <c r="BA165" s="464"/>
      <c r="BB165" s="464"/>
      <c r="BC165" s="464"/>
      <c r="BD165" s="465"/>
      <c r="BE165" s="463"/>
      <c r="BF165" s="464"/>
      <c r="BG165" s="464"/>
      <c r="BH165" s="464"/>
      <c r="BI165" s="464"/>
      <c r="BJ165" s="466"/>
    </row>
    <row r="166" spans="5:62" s="467" customFormat="1" ht="16.5" customHeight="1">
      <c r="E166" s="454" t="s">
        <v>1216</v>
      </c>
      <c r="F166" s="455"/>
      <c r="G166" s="456"/>
      <c r="H166" s="457"/>
      <c r="I166" s="458" t="s">
        <v>1197</v>
      </c>
      <c r="J166" s="566" t="s">
        <v>1198</v>
      </c>
      <c r="K166" s="571">
        <v>200</v>
      </c>
      <c r="L166" s="460" t="s">
        <v>1188</v>
      </c>
      <c r="M166" s="463">
        <f t="shared" si="27"/>
        <v>0</v>
      </c>
      <c r="N166" s="463">
        <f t="shared" si="27"/>
        <v>0</v>
      </c>
      <c r="O166" s="463">
        <f t="shared" si="27"/>
        <v>1</v>
      </c>
      <c r="P166" s="463">
        <f t="shared" si="27"/>
        <v>0</v>
      </c>
      <c r="Q166" s="463">
        <f t="shared" si="27"/>
        <v>0</v>
      </c>
      <c r="R166" s="463">
        <f t="shared" si="27"/>
        <v>0</v>
      </c>
      <c r="S166" s="463">
        <f t="shared" si="27"/>
        <v>0</v>
      </c>
      <c r="T166" s="463">
        <f t="shared" si="27"/>
        <v>0</v>
      </c>
      <c r="U166" s="463">
        <f t="shared" si="27"/>
        <v>0</v>
      </c>
      <c r="V166" s="463">
        <f t="shared" si="27"/>
        <v>0</v>
      </c>
      <c r="W166" s="463">
        <f t="shared" si="27"/>
        <v>0</v>
      </c>
      <c r="X166" s="463">
        <f t="shared" si="28"/>
        <v>0</v>
      </c>
      <c r="Y166" s="463">
        <f t="shared" si="28"/>
        <v>0</v>
      </c>
      <c r="Z166" s="463">
        <f t="shared" si="28"/>
        <v>0</v>
      </c>
      <c r="AA166" s="463">
        <f t="shared" si="28"/>
        <v>0</v>
      </c>
      <c r="AB166" s="463">
        <f t="shared" si="28"/>
        <v>0</v>
      </c>
      <c r="AC166" s="463">
        <f t="shared" si="28"/>
        <v>0</v>
      </c>
      <c r="AD166" s="463">
        <f t="shared" si="28"/>
        <v>0</v>
      </c>
      <c r="AE166" s="463">
        <f t="shared" si="28"/>
        <v>0</v>
      </c>
      <c r="AF166" s="621">
        <f t="shared" si="28"/>
        <v>0</v>
      </c>
      <c r="AG166" s="573"/>
      <c r="AH166" s="464"/>
      <c r="AI166" s="464"/>
      <c r="AJ166" s="464"/>
      <c r="AK166" s="464"/>
      <c r="AL166" s="465"/>
      <c r="AM166" s="463"/>
      <c r="AN166" s="464"/>
      <c r="AO166" s="464"/>
      <c r="AP166" s="464"/>
      <c r="AQ166" s="464"/>
      <c r="AR166" s="465"/>
      <c r="AS166" s="463"/>
      <c r="AT166" s="464"/>
      <c r="AU166" s="464"/>
      <c r="AV166" s="464"/>
      <c r="AW166" s="464"/>
      <c r="AX166" s="465"/>
      <c r="AY166" s="463"/>
      <c r="AZ166" s="464"/>
      <c r="BA166" s="464"/>
      <c r="BB166" s="464"/>
      <c r="BC166" s="464"/>
      <c r="BD166" s="465"/>
      <c r="BE166" s="463"/>
      <c r="BF166" s="464"/>
      <c r="BG166" s="464"/>
      <c r="BH166" s="464"/>
      <c r="BI166" s="464"/>
      <c r="BJ166" s="466"/>
    </row>
    <row r="167" spans="5:62" s="467" customFormat="1" ht="16.5" customHeight="1">
      <c r="E167" s="454" t="s">
        <v>1216</v>
      </c>
      <c r="F167" s="455"/>
      <c r="G167" s="456"/>
      <c r="H167" s="457"/>
      <c r="I167" s="458" t="s">
        <v>1193</v>
      </c>
      <c r="J167" s="566" t="s">
        <v>1192</v>
      </c>
      <c r="K167" s="571">
        <v>100</v>
      </c>
      <c r="L167" s="460" t="s">
        <v>1188</v>
      </c>
      <c r="M167" s="463">
        <f t="shared" si="27"/>
        <v>1</v>
      </c>
      <c r="N167" s="463">
        <f t="shared" si="27"/>
        <v>0</v>
      </c>
      <c r="O167" s="463">
        <f t="shared" si="27"/>
        <v>0</v>
      </c>
      <c r="P167" s="463">
        <f t="shared" si="27"/>
        <v>0</v>
      </c>
      <c r="Q167" s="463">
        <f t="shared" si="27"/>
        <v>0</v>
      </c>
      <c r="R167" s="463">
        <f t="shared" si="27"/>
        <v>0</v>
      </c>
      <c r="S167" s="463">
        <f t="shared" si="27"/>
        <v>0</v>
      </c>
      <c r="T167" s="463">
        <f t="shared" si="27"/>
        <v>0</v>
      </c>
      <c r="U167" s="463">
        <f t="shared" si="27"/>
        <v>0</v>
      </c>
      <c r="V167" s="463">
        <f t="shared" si="27"/>
        <v>0</v>
      </c>
      <c r="W167" s="463">
        <f t="shared" si="27"/>
        <v>0</v>
      </c>
      <c r="X167" s="463">
        <f t="shared" si="28"/>
        <v>0</v>
      </c>
      <c r="Y167" s="463">
        <f t="shared" si="28"/>
        <v>0</v>
      </c>
      <c r="Z167" s="463">
        <f t="shared" si="28"/>
        <v>0</v>
      </c>
      <c r="AA167" s="463">
        <f t="shared" si="28"/>
        <v>0</v>
      </c>
      <c r="AB167" s="463">
        <f t="shared" si="28"/>
        <v>0</v>
      </c>
      <c r="AC167" s="463">
        <f t="shared" si="28"/>
        <v>0</v>
      </c>
      <c r="AD167" s="463">
        <f t="shared" si="28"/>
        <v>0</v>
      </c>
      <c r="AE167" s="463">
        <f t="shared" si="28"/>
        <v>0</v>
      </c>
      <c r="AF167" s="621">
        <f t="shared" si="28"/>
        <v>0</v>
      </c>
      <c r="AG167" s="573"/>
      <c r="AH167" s="464"/>
      <c r="AI167" s="464"/>
      <c r="AJ167" s="464"/>
      <c r="AK167" s="464"/>
      <c r="AL167" s="465"/>
      <c r="AM167" s="463"/>
      <c r="AN167" s="464"/>
      <c r="AO167" s="464"/>
      <c r="AP167" s="464"/>
      <c r="AQ167" s="464"/>
      <c r="AR167" s="465"/>
      <c r="AS167" s="463"/>
      <c r="AT167" s="464"/>
      <c r="AU167" s="464"/>
      <c r="AV167" s="464"/>
      <c r="AW167" s="464"/>
      <c r="AX167" s="465"/>
      <c r="AY167" s="463"/>
      <c r="AZ167" s="464"/>
      <c r="BA167" s="464"/>
      <c r="BB167" s="464"/>
      <c r="BC167" s="464"/>
      <c r="BD167" s="465"/>
      <c r="BE167" s="463"/>
      <c r="BF167" s="464"/>
      <c r="BG167" s="464"/>
      <c r="BH167" s="464"/>
      <c r="BI167" s="464"/>
      <c r="BJ167" s="466"/>
    </row>
    <row r="168" spans="5:62" s="467" customFormat="1" ht="16.5" customHeight="1">
      <c r="E168" s="454" t="s">
        <v>1216</v>
      </c>
      <c r="F168" s="455"/>
      <c r="G168" s="456"/>
      <c r="H168" s="457"/>
      <c r="I168" s="458" t="s">
        <v>1193</v>
      </c>
      <c r="J168" s="566" t="s">
        <v>1192</v>
      </c>
      <c r="K168" s="571">
        <v>100</v>
      </c>
      <c r="L168" s="460" t="s">
        <v>1188</v>
      </c>
      <c r="M168" s="463">
        <f t="shared" si="27"/>
        <v>1</v>
      </c>
      <c r="N168" s="463">
        <f t="shared" si="27"/>
        <v>0</v>
      </c>
      <c r="O168" s="463">
        <f t="shared" si="27"/>
        <v>0</v>
      </c>
      <c r="P168" s="463">
        <f t="shared" si="27"/>
        <v>0</v>
      </c>
      <c r="Q168" s="463">
        <f t="shared" si="27"/>
        <v>0</v>
      </c>
      <c r="R168" s="463">
        <f t="shared" si="27"/>
        <v>0</v>
      </c>
      <c r="S168" s="463">
        <f t="shared" si="27"/>
        <v>0</v>
      </c>
      <c r="T168" s="463">
        <f t="shared" si="27"/>
        <v>0</v>
      </c>
      <c r="U168" s="463">
        <f t="shared" si="27"/>
        <v>0</v>
      </c>
      <c r="V168" s="463">
        <f t="shared" si="27"/>
        <v>0</v>
      </c>
      <c r="W168" s="463">
        <f t="shared" si="27"/>
        <v>0</v>
      </c>
      <c r="X168" s="463">
        <f t="shared" si="28"/>
        <v>0</v>
      </c>
      <c r="Y168" s="463">
        <f t="shared" si="28"/>
        <v>0</v>
      </c>
      <c r="Z168" s="463">
        <f t="shared" si="28"/>
        <v>0</v>
      </c>
      <c r="AA168" s="463">
        <f t="shared" si="28"/>
        <v>0</v>
      </c>
      <c r="AB168" s="463">
        <f t="shared" si="28"/>
        <v>0</v>
      </c>
      <c r="AC168" s="463">
        <f t="shared" si="28"/>
        <v>0</v>
      </c>
      <c r="AD168" s="463">
        <f t="shared" si="28"/>
        <v>0</v>
      </c>
      <c r="AE168" s="463">
        <f t="shared" si="28"/>
        <v>0</v>
      </c>
      <c r="AF168" s="621">
        <f t="shared" si="28"/>
        <v>0</v>
      </c>
      <c r="AG168" s="573"/>
      <c r="AH168" s="464"/>
      <c r="AI168" s="464"/>
      <c r="AJ168" s="464"/>
      <c r="AK168" s="464"/>
      <c r="AL168" s="465"/>
      <c r="AM168" s="463"/>
      <c r="AN168" s="464"/>
      <c r="AO168" s="464"/>
      <c r="AP168" s="464"/>
      <c r="AQ168" s="464"/>
      <c r="AR168" s="465"/>
      <c r="AS168" s="463"/>
      <c r="AT168" s="464"/>
      <c r="AU168" s="464"/>
      <c r="AV168" s="464"/>
      <c r="AW168" s="464"/>
      <c r="AX168" s="465"/>
      <c r="AY168" s="463"/>
      <c r="AZ168" s="464"/>
      <c r="BA168" s="464"/>
      <c r="BB168" s="464"/>
      <c r="BC168" s="464"/>
      <c r="BD168" s="465"/>
      <c r="BE168" s="463"/>
      <c r="BF168" s="464"/>
      <c r="BG168" s="464"/>
      <c r="BH168" s="464"/>
      <c r="BI168" s="464"/>
      <c r="BJ168" s="466"/>
    </row>
    <row r="169" spans="5:62" s="467" customFormat="1" ht="16.5" customHeight="1">
      <c r="E169" s="454" t="s">
        <v>1216</v>
      </c>
      <c r="F169" s="455"/>
      <c r="G169" s="456"/>
      <c r="H169" s="457"/>
      <c r="I169" s="458" t="s">
        <v>1200</v>
      </c>
      <c r="J169" s="566"/>
      <c r="K169" s="571" t="s">
        <v>1179</v>
      </c>
      <c r="L169" s="460" t="s">
        <v>1190</v>
      </c>
      <c r="M169" s="463">
        <f t="shared" si="27"/>
        <v>0</v>
      </c>
      <c r="N169" s="463">
        <f t="shared" si="27"/>
        <v>0</v>
      </c>
      <c r="O169" s="463">
        <f t="shared" si="27"/>
        <v>0</v>
      </c>
      <c r="P169" s="463">
        <f t="shared" si="27"/>
        <v>0</v>
      </c>
      <c r="Q169" s="463">
        <f t="shared" si="27"/>
        <v>0</v>
      </c>
      <c r="R169" s="463">
        <f t="shared" si="27"/>
        <v>0</v>
      </c>
      <c r="S169" s="463">
        <f t="shared" si="27"/>
        <v>0</v>
      </c>
      <c r="T169" s="463">
        <f t="shared" si="27"/>
        <v>0</v>
      </c>
      <c r="U169" s="463">
        <f t="shared" si="27"/>
        <v>0</v>
      </c>
      <c r="V169" s="463">
        <f t="shared" si="27"/>
        <v>1</v>
      </c>
      <c r="W169" s="463">
        <f t="shared" si="27"/>
        <v>0</v>
      </c>
      <c r="X169" s="463">
        <f t="shared" si="28"/>
        <v>0</v>
      </c>
      <c r="Y169" s="463">
        <f t="shared" si="28"/>
        <v>0</v>
      </c>
      <c r="Z169" s="463">
        <f t="shared" si="28"/>
        <v>0</v>
      </c>
      <c r="AA169" s="463">
        <f t="shared" si="28"/>
        <v>0</v>
      </c>
      <c r="AB169" s="463">
        <f t="shared" si="28"/>
        <v>0</v>
      </c>
      <c r="AC169" s="463">
        <f t="shared" si="28"/>
        <v>0</v>
      </c>
      <c r="AD169" s="463">
        <f t="shared" si="28"/>
        <v>0</v>
      </c>
      <c r="AE169" s="463">
        <f t="shared" si="28"/>
        <v>0</v>
      </c>
      <c r="AF169" s="621">
        <f t="shared" si="28"/>
        <v>0</v>
      </c>
      <c r="AG169" s="573"/>
      <c r="AH169" s="464"/>
      <c r="AI169" s="464"/>
      <c r="AJ169" s="464"/>
      <c r="AK169" s="464"/>
      <c r="AL169" s="465"/>
      <c r="AM169" s="463"/>
      <c r="AN169" s="464"/>
      <c r="AO169" s="464"/>
      <c r="AP169" s="464"/>
      <c r="AQ169" s="464"/>
      <c r="AR169" s="465"/>
      <c r="AS169" s="463"/>
      <c r="AT169" s="464"/>
      <c r="AU169" s="464"/>
      <c r="AV169" s="464"/>
      <c r="AW169" s="464"/>
      <c r="AX169" s="465"/>
      <c r="AY169" s="463"/>
      <c r="AZ169" s="464"/>
      <c r="BA169" s="464"/>
      <c r="BB169" s="464"/>
      <c r="BC169" s="464"/>
      <c r="BD169" s="465"/>
      <c r="BE169" s="463"/>
      <c r="BF169" s="464"/>
      <c r="BG169" s="464"/>
      <c r="BH169" s="464"/>
      <c r="BI169" s="464"/>
      <c r="BJ169" s="466"/>
    </row>
    <row r="170" spans="5:62" s="467" customFormat="1" ht="16.5" customHeight="1">
      <c r="E170" s="454" t="s">
        <v>1216</v>
      </c>
      <c r="F170" s="455"/>
      <c r="G170" s="456"/>
      <c r="H170" s="457"/>
      <c r="I170" s="458" t="s">
        <v>1194</v>
      </c>
      <c r="J170" s="566" t="s">
        <v>1192</v>
      </c>
      <c r="K170" s="571">
        <v>100</v>
      </c>
      <c r="L170" s="460" t="s">
        <v>1188</v>
      </c>
      <c r="M170" s="463">
        <f t="shared" si="27"/>
        <v>1</v>
      </c>
      <c r="N170" s="463">
        <f t="shared" si="27"/>
        <v>0</v>
      </c>
      <c r="O170" s="463">
        <f t="shared" si="27"/>
        <v>0</v>
      </c>
      <c r="P170" s="463">
        <f t="shared" si="27"/>
        <v>0</v>
      </c>
      <c r="Q170" s="463">
        <f t="shared" si="27"/>
        <v>0</v>
      </c>
      <c r="R170" s="463">
        <f t="shared" si="27"/>
        <v>0</v>
      </c>
      <c r="S170" s="463">
        <f t="shared" si="27"/>
        <v>0</v>
      </c>
      <c r="T170" s="463">
        <f t="shared" si="27"/>
        <v>0</v>
      </c>
      <c r="U170" s="463">
        <f t="shared" si="27"/>
        <v>0</v>
      </c>
      <c r="V170" s="463">
        <f t="shared" si="27"/>
        <v>0</v>
      </c>
      <c r="W170" s="463">
        <f t="shared" si="27"/>
        <v>0</v>
      </c>
      <c r="X170" s="463">
        <f t="shared" si="28"/>
        <v>0</v>
      </c>
      <c r="Y170" s="463">
        <f t="shared" si="28"/>
        <v>0</v>
      </c>
      <c r="Z170" s="463">
        <f t="shared" si="28"/>
        <v>0</v>
      </c>
      <c r="AA170" s="463">
        <f t="shared" si="28"/>
        <v>0</v>
      </c>
      <c r="AB170" s="463">
        <f t="shared" si="28"/>
        <v>0</v>
      </c>
      <c r="AC170" s="463">
        <f t="shared" si="28"/>
        <v>0</v>
      </c>
      <c r="AD170" s="463">
        <f t="shared" si="28"/>
        <v>0</v>
      </c>
      <c r="AE170" s="463">
        <f t="shared" si="28"/>
        <v>0</v>
      </c>
      <c r="AF170" s="621">
        <f t="shared" si="28"/>
        <v>0</v>
      </c>
      <c r="AG170" s="573"/>
      <c r="AH170" s="464"/>
      <c r="AI170" s="464"/>
      <c r="AJ170" s="464"/>
      <c r="AK170" s="464"/>
      <c r="AL170" s="465"/>
      <c r="AM170" s="463"/>
      <c r="AN170" s="464"/>
      <c r="AO170" s="464"/>
      <c r="AP170" s="464"/>
      <c r="AQ170" s="464"/>
      <c r="AR170" s="465"/>
      <c r="AS170" s="463"/>
      <c r="AT170" s="464"/>
      <c r="AU170" s="464"/>
      <c r="AV170" s="464"/>
      <c r="AW170" s="464"/>
      <c r="AX170" s="465"/>
      <c r="AY170" s="463"/>
      <c r="AZ170" s="464"/>
      <c r="BA170" s="464"/>
      <c r="BB170" s="464"/>
      <c r="BC170" s="464"/>
      <c r="BD170" s="465"/>
      <c r="BE170" s="463"/>
      <c r="BF170" s="464"/>
      <c r="BG170" s="464"/>
      <c r="BH170" s="464"/>
      <c r="BI170" s="464"/>
      <c r="BJ170" s="466"/>
    </row>
    <row r="171" spans="5:62" s="467" customFormat="1" ht="16.5" customHeight="1">
      <c r="E171" s="454" t="s">
        <v>1216</v>
      </c>
      <c r="F171" s="455"/>
      <c r="G171" s="456"/>
      <c r="H171" s="457"/>
      <c r="I171" s="458" t="s">
        <v>1193</v>
      </c>
      <c r="J171" s="566" t="s">
        <v>1192</v>
      </c>
      <c r="K171" s="571">
        <v>100</v>
      </c>
      <c r="L171" s="460" t="s">
        <v>1188</v>
      </c>
      <c r="M171" s="463">
        <f t="shared" si="27"/>
        <v>1</v>
      </c>
      <c r="N171" s="463">
        <f t="shared" si="27"/>
        <v>0</v>
      </c>
      <c r="O171" s="463">
        <f t="shared" si="27"/>
        <v>0</v>
      </c>
      <c r="P171" s="463">
        <f t="shared" si="27"/>
        <v>0</v>
      </c>
      <c r="Q171" s="463">
        <f t="shared" si="27"/>
        <v>0</v>
      </c>
      <c r="R171" s="463">
        <f t="shared" si="27"/>
        <v>0</v>
      </c>
      <c r="S171" s="463">
        <f t="shared" si="27"/>
        <v>0</v>
      </c>
      <c r="T171" s="463">
        <f t="shared" si="27"/>
        <v>0</v>
      </c>
      <c r="U171" s="463">
        <f t="shared" si="27"/>
        <v>0</v>
      </c>
      <c r="V171" s="463">
        <f t="shared" si="27"/>
        <v>0</v>
      </c>
      <c r="W171" s="463">
        <f t="shared" si="27"/>
        <v>0</v>
      </c>
      <c r="X171" s="463">
        <f t="shared" si="28"/>
        <v>0</v>
      </c>
      <c r="Y171" s="463">
        <f t="shared" si="28"/>
        <v>0</v>
      </c>
      <c r="Z171" s="463">
        <f t="shared" si="28"/>
        <v>0</v>
      </c>
      <c r="AA171" s="463">
        <f t="shared" si="28"/>
        <v>0</v>
      </c>
      <c r="AB171" s="463">
        <f t="shared" si="28"/>
        <v>0</v>
      </c>
      <c r="AC171" s="463">
        <f t="shared" si="28"/>
        <v>0</v>
      </c>
      <c r="AD171" s="463">
        <f t="shared" si="28"/>
        <v>0</v>
      </c>
      <c r="AE171" s="463">
        <f t="shared" si="28"/>
        <v>0</v>
      </c>
      <c r="AF171" s="621">
        <f t="shared" si="28"/>
        <v>0</v>
      </c>
      <c r="AG171" s="573"/>
      <c r="AH171" s="464"/>
      <c r="AI171" s="464"/>
      <c r="AJ171" s="464"/>
      <c r="AK171" s="464"/>
      <c r="AL171" s="465"/>
      <c r="AM171" s="463"/>
      <c r="AN171" s="464"/>
      <c r="AO171" s="464"/>
      <c r="AP171" s="464"/>
      <c r="AQ171" s="464"/>
      <c r="AR171" s="465"/>
      <c r="AS171" s="463"/>
      <c r="AT171" s="464"/>
      <c r="AU171" s="464"/>
      <c r="AV171" s="464"/>
      <c r="AW171" s="464"/>
      <c r="AX171" s="465"/>
      <c r="AY171" s="463"/>
      <c r="AZ171" s="464"/>
      <c r="BA171" s="464"/>
      <c r="BB171" s="464"/>
      <c r="BC171" s="464"/>
      <c r="BD171" s="465"/>
      <c r="BE171" s="463"/>
      <c r="BF171" s="464"/>
      <c r="BG171" s="464"/>
      <c r="BH171" s="464"/>
      <c r="BI171" s="464"/>
      <c r="BJ171" s="466"/>
    </row>
    <row r="172" spans="5:62" s="467" customFormat="1" ht="16.5" customHeight="1">
      <c r="E172" s="454" t="s">
        <v>1216</v>
      </c>
      <c r="F172" s="455"/>
      <c r="G172" s="456"/>
      <c r="H172" s="457"/>
      <c r="I172" s="458" t="s">
        <v>1194</v>
      </c>
      <c r="J172" s="566" t="s">
        <v>1192</v>
      </c>
      <c r="K172" s="571">
        <v>100</v>
      </c>
      <c r="L172" s="460" t="s">
        <v>1188</v>
      </c>
      <c r="M172" s="463">
        <f t="shared" si="27"/>
        <v>1</v>
      </c>
      <c r="N172" s="463">
        <f t="shared" si="27"/>
        <v>0</v>
      </c>
      <c r="O172" s="463">
        <f t="shared" si="27"/>
        <v>0</v>
      </c>
      <c r="P172" s="463">
        <f t="shared" si="27"/>
        <v>0</v>
      </c>
      <c r="Q172" s="463">
        <f t="shared" si="27"/>
        <v>0</v>
      </c>
      <c r="R172" s="463">
        <f t="shared" si="27"/>
        <v>0</v>
      </c>
      <c r="S172" s="463">
        <f t="shared" si="27"/>
        <v>0</v>
      </c>
      <c r="T172" s="463">
        <f t="shared" si="27"/>
        <v>0</v>
      </c>
      <c r="U172" s="463">
        <f t="shared" si="27"/>
        <v>0</v>
      </c>
      <c r="V172" s="463">
        <f t="shared" si="27"/>
        <v>0</v>
      </c>
      <c r="W172" s="463">
        <f t="shared" si="27"/>
        <v>0</v>
      </c>
      <c r="X172" s="463">
        <f t="shared" si="28"/>
        <v>0</v>
      </c>
      <c r="Y172" s="463">
        <f t="shared" si="28"/>
        <v>0</v>
      </c>
      <c r="Z172" s="463">
        <f t="shared" si="28"/>
        <v>0</v>
      </c>
      <c r="AA172" s="463">
        <f t="shared" si="28"/>
        <v>0</v>
      </c>
      <c r="AB172" s="463">
        <f t="shared" si="28"/>
        <v>0</v>
      </c>
      <c r="AC172" s="463">
        <f t="shared" si="28"/>
        <v>0</v>
      </c>
      <c r="AD172" s="463">
        <f t="shared" si="28"/>
        <v>0</v>
      </c>
      <c r="AE172" s="463">
        <f t="shared" si="28"/>
        <v>0</v>
      </c>
      <c r="AF172" s="621">
        <f t="shared" si="28"/>
        <v>0</v>
      </c>
      <c r="AG172" s="573"/>
      <c r="AH172" s="464"/>
      <c r="AI172" s="464"/>
      <c r="AJ172" s="464"/>
      <c r="AK172" s="464"/>
      <c r="AL172" s="465"/>
      <c r="AM172" s="463"/>
      <c r="AN172" s="464"/>
      <c r="AO172" s="464"/>
      <c r="AP172" s="464"/>
      <c r="AQ172" s="464"/>
      <c r="AR172" s="465"/>
      <c r="AS172" s="463"/>
      <c r="AT172" s="464"/>
      <c r="AU172" s="464"/>
      <c r="AV172" s="464"/>
      <c r="AW172" s="464"/>
      <c r="AX172" s="465"/>
      <c r="AY172" s="463"/>
      <c r="AZ172" s="464"/>
      <c r="BA172" s="464"/>
      <c r="BB172" s="464"/>
      <c r="BC172" s="464"/>
      <c r="BD172" s="465"/>
      <c r="BE172" s="463"/>
      <c r="BF172" s="464"/>
      <c r="BG172" s="464"/>
      <c r="BH172" s="464"/>
      <c r="BI172" s="464"/>
      <c r="BJ172" s="466"/>
    </row>
    <row r="173" spans="5:62" s="467" customFormat="1" ht="16.5" customHeight="1">
      <c r="E173" s="454" t="s">
        <v>1216</v>
      </c>
      <c r="F173" s="455"/>
      <c r="G173" s="456"/>
      <c r="H173" s="457"/>
      <c r="I173" s="458" t="s">
        <v>1194</v>
      </c>
      <c r="J173" s="566" t="s">
        <v>1192</v>
      </c>
      <c r="K173" s="571">
        <v>100</v>
      </c>
      <c r="L173" s="460" t="s">
        <v>1188</v>
      </c>
      <c r="M173" s="463">
        <f t="shared" si="27"/>
        <v>1</v>
      </c>
      <c r="N173" s="463">
        <f t="shared" si="27"/>
        <v>0</v>
      </c>
      <c r="O173" s="463">
        <f t="shared" si="27"/>
        <v>0</v>
      </c>
      <c r="P173" s="463">
        <f t="shared" si="27"/>
        <v>0</v>
      </c>
      <c r="Q173" s="463">
        <f t="shared" si="27"/>
        <v>0</v>
      </c>
      <c r="R173" s="463">
        <f t="shared" si="27"/>
        <v>0</v>
      </c>
      <c r="S173" s="463">
        <f t="shared" si="27"/>
        <v>0</v>
      </c>
      <c r="T173" s="463">
        <f t="shared" si="27"/>
        <v>0</v>
      </c>
      <c r="U173" s="463">
        <f t="shared" si="27"/>
        <v>0</v>
      </c>
      <c r="V173" s="463">
        <f t="shared" si="27"/>
        <v>0</v>
      </c>
      <c r="W173" s="463">
        <f t="shared" si="27"/>
        <v>0</v>
      </c>
      <c r="X173" s="463">
        <f t="shared" si="28"/>
        <v>0</v>
      </c>
      <c r="Y173" s="463">
        <f t="shared" si="28"/>
        <v>0</v>
      </c>
      <c r="Z173" s="463">
        <f t="shared" si="28"/>
        <v>0</v>
      </c>
      <c r="AA173" s="463">
        <f t="shared" si="28"/>
        <v>0</v>
      </c>
      <c r="AB173" s="463">
        <f t="shared" si="28"/>
        <v>0</v>
      </c>
      <c r="AC173" s="463">
        <f t="shared" si="28"/>
        <v>0</v>
      </c>
      <c r="AD173" s="463">
        <f t="shared" si="28"/>
        <v>0</v>
      </c>
      <c r="AE173" s="463">
        <f t="shared" si="28"/>
        <v>0</v>
      </c>
      <c r="AF173" s="621">
        <f t="shared" si="28"/>
        <v>0</v>
      </c>
      <c r="AG173" s="573"/>
      <c r="AH173" s="464"/>
      <c r="AI173" s="464"/>
      <c r="AJ173" s="464"/>
      <c r="AK173" s="464"/>
      <c r="AL173" s="465"/>
      <c r="AM173" s="463"/>
      <c r="AN173" s="464"/>
      <c r="AO173" s="464"/>
      <c r="AP173" s="464"/>
      <c r="AQ173" s="464"/>
      <c r="AR173" s="465"/>
      <c r="AS173" s="463"/>
      <c r="AT173" s="464"/>
      <c r="AU173" s="464"/>
      <c r="AV173" s="464"/>
      <c r="AW173" s="464"/>
      <c r="AX173" s="465"/>
      <c r="AY173" s="463"/>
      <c r="AZ173" s="464"/>
      <c r="BA173" s="464"/>
      <c r="BB173" s="464"/>
      <c r="BC173" s="464"/>
      <c r="BD173" s="465"/>
      <c r="BE173" s="463"/>
      <c r="BF173" s="464"/>
      <c r="BG173" s="464"/>
      <c r="BH173" s="464"/>
      <c r="BI173" s="464"/>
      <c r="BJ173" s="466"/>
    </row>
    <row r="174" spans="5:62" s="434" customFormat="1" ht="15" customHeight="1">
      <c r="E174" s="454" t="s">
        <v>1216</v>
      </c>
      <c r="F174" s="455"/>
      <c r="G174" s="456"/>
      <c r="H174" s="457"/>
      <c r="I174" s="458" t="s">
        <v>1210</v>
      </c>
      <c r="J174" s="566"/>
      <c r="K174" s="459"/>
      <c r="L174" s="460"/>
      <c r="M174" s="463">
        <f t="shared" ref="M174:AB175" si="29">+IF($L174=M$10,IF($K174=M$11,1,0),0)</f>
        <v>0</v>
      </c>
      <c r="N174" s="463">
        <f t="shared" si="29"/>
        <v>0</v>
      </c>
      <c r="O174" s="463">
        <f t="shared" si="29"/>
        <v>0</v>
      </c>
      <c r="P174" s="463">
        <f t="shared" si="29"/>
        <v>0</v>
      </c>
      <c r="Q174" s="463">
        <f t="shared" si="29"/>
        <v>0</v>
      </c>
      <c r="R174" s="463">
        <f t="shared" si="29"/>
        <v>0</v>
      </c>
      <c r="S174" s="463">
        <v>28</v>
      </c>
      <c r="T174" s="463">
        <f t="shared" si="29"/>
        <v>0</v>
      </c>
      <c r="U174" s="463">
        <f t="shared" si="29"/>
        <v>0</v>
      </c>
      <c r="V174" s="463">
        <f t="shared" si="29"/>
        <v>0</v>
      </c>
      <c r="W174" s="463">
        <f t="shared" si="29"/>
        <v>0</v>
      </c>
      <c r="X174" s="463">
        <f t="shared" si="29"/>
        <v>0</v>
      </c>
      <c r="Y174" s="463">
        <f t="shared" si="29"/>
        <v>0</v>
      </c>
      <c r="Z174" s="463">
        <f t="shared" si="29"/>
        <v>0</v>
      </c>
      <c r="AA174" s="463">
        <f t="shared" si="29"/>
        <v>0</v>
      </c>
      <c r="AB174" s="463">
        <f t="shared" si="29"/>
        <v>0</v>
      </c>
      <c r="AC174" s="463">
        <f t="shared" ref="X174:AF175" si="30">+IF($L174=AC$10,IF($K174=AC$11,1,0),0)</f>
        <v>0</v>
      </c>
      <c r="AD174" s="463">
        <f t="shared" si="30"/>
        <v>0</v>
      </c>
      <c r="AE174" s="463">
        <f t="shared" si="30"/>
        <v>0</v>
      </c>
      <c r="AF174" s="621">
        <f t="shared" si="30"/>
        <v>0</v>
      </c>
      <c r="AG174" s="573"/>
      <c r="AH174" s="464"/>
      <c r="AI174" s="464"/>
      <c r="AJ174" s="464"/>
      <c r="AK174" s="464"/>
      <c r="AL174" s="465"/>
      <c r="AM174" s="463"/>
      <c r="AN174" s="464"/>
      <c r="AO174" s="464"/>
      <c r="AP174" s="464"/>
      <c r="AQ174" s="575"/>
      <c r="AR174" s="576"/>
      <c r="AS174" s="577"/>
      <c r="AT174" s="575"/>
      <c r="AU174" s="575"/>
      <c r="AV174" s="575"/>
      <c r="AW174" s="575"/>
      <c r="AX174" s="576"/>
      <c r="AY174" s="577"/>
      <c r="AZ174" s="575"/>
      <c r="BA174" s="575"/>
      <c r="BB174" s="575"/>
      <c r="BC174" s="575"/>
      <c r="BD174" s="576"/>
      <c r="BE174" s="577"/>
      <c r="BF174" s="575"/>
      <c r="BG174" s="575"/>
      <c r="BH174" s="575"/>
      <c r="BI174" s="575"/>
      <c r="BJ174" s="578"/>
    </row>
    <row r="175" spans="5:62" s="434" customFormat="1" ht="15" customHeight="1">
      <c r="E175" s="454" t="s">
        <v>1216</v>
      </c>
      <c r="F175" s="455"/>
      <c r="G175" s="456"/>
      <c r="H175" s="457"/>
      <c r="I175" s="458" t="s">
        <v>1211</v>
      </c>
      <c r="J175" s="566"/>
      <c r="K175" s="459"/>
      <c r="L175" s="460"/>
      <c r="M175" s="463">
        <f t="shared" si="29"/>
        <v>0</v>
      </c>
      <c r="N175" s="463">
        <f t="shared" si="29"/>
        <v>0</v>
      </c>
      <c r="O175" s="463">
        <f t="shared" si="29"/>
        <v>0</v>
      </c>
      <c r="P175" s="463">
        <f t="shared" si="29"/>
        <v>0</v>
      </c>
      <c r="Q175" s="463">
        <f t="shared" si="29"/>
        <v>0</v>
      </c>
      <c r="R175" s="463">
        <f t="shared" si="29"/>
        <v>0</v>
      </c>
      <c r="S175" s="463">
        <f t="shared" si="29"/>
        <v>0</v>
      </c>
      <c r="T175" s="463">
        <v>22</v>
      </c>
      <c r="U175" s="463">
        <f t="shared" si="29"/>
        <v>0</v>
      </c>
      <c r="V175" s="463">
        <f t="shared" si="29"/>
        <v>0</v>
      </c>
      <c r="W175" s="463">
        <f t="shared" si="29"/>
        <v>0</v>
      </c>
      <c r="X175" s="463">
        <f t="shared" si="30"/>
        <v>0</v>
      </c>
      <c r="Y175" s="463">
        <f t="shared" si="30"/>
        <v>0</v>
      </c>
      <c r="Z175" s="463">
        <f t="shared" si="30"/>
        <v>0</v>
      </c>
      <c r="AA175" s="463">
        <f t="shared" si="30"/>
        <v>0</v>
      </c>
      <c r="AB175" s="463">
        <f t="shared" si="30"/>
        <v>0</v>
      </c>
      <c r="AC175" s="463">
        <f t="shared" si="30"/>
        <v>0</v>
      </c>
      <c r="AD175" s="463">
        <f t="shared" si="30"/>
        <v>0</v>
      </c>
      <c r="AE175" s="463">
        <f t="shared" si="30"/>
        <v>0</v>
      </c>
      <c r="AF175" s="621">
        <f t="shared" si="30"/>
        <v>0</v>
      </c>
      <c r="AG175" s="573"/>
      <c r="AH175" s="464"/>
      <c r="AI175" s="464"/>
      <c r="AJ175" s="464"/>
      <c r="AK175" s="464"/>
      <c r="AL175" s="465"/>
      <c r="AM175" s="463"/>
      <c r="AN175" s="464"/>
      <c r="AO175" s="464"/>
      <c r="AP175" s="464"/>
      <c r="AQ175" s="575"/>
      <c r="AR175" s="576"/>
      <c r="AS175" s="577"/>
      <c r="AT175" s="575"/>
      <c r="AU175" s="575"/>
      <c r="AV175" s="575"/>
      <c r="AW175" s="575"/>
      <c r="AX175" s="576"/>
      <c r="AY175" s="577"/>
      <c r="AZ175" s="575"/>
      <c r="BA175" s="575"/>
      <c r="BB175" s="575"/>
      <c r="BC175" s="575"/>
      <c r="BD175" s="576"/>
      <c r="BE175" s="577"/>
      <c r="BF175" s="575"/>
      <c r="BG175" s="575"/>
      <c r="BH175" s="575"/>
      <c r="BI175" s="575"/>
      <c r="BJ175" s="578"/>
    </row>
    <row r="176" spans="5:62" s="467" customFormat="1" ht="16.5" customHeight="1">
      <c r="E176" s="454" t="s">
        <v>1216</v>
      </c>
      <c r="F176" s="455"/>
      <c r="G176" s="456"/>
      <c r="H176" s="457"/>
      <c r="I176" s="458" t="s">
        <v>1209</v>
      </c>
      <c r="J176" s="566"/>
      <c r="K176" s="571" t="s">
        <v>1204</v>
      </c>
      <c r="L176" s="460" t="s">
        <v>1191</v>
      </c>
      <c r="M176" s="463">
        <f t="shared" si="27"/>
        <v>0</v>
      </c>
      <c r="N176" s="463">
        <f t="shared" si="27"/>
        <v>0</v>
      </c>
      <c r="O176" s="463">
        <f t="shared" si="27"/>
        <v>0</v>
      </c>
      <c r="P176" s="463">
        <f t="shared" si="27"/>
        <v>0</v>
      </c>
      <c r="Q176" s="463">
        <f t="shared" si="27"/>
        <v>0</v>
      </c>
      <c r="R176" s="463">
        <f t="shared" si="27"/>
        <v>0</v>
      </c>
      <c r="S176" s="463">
        <f t="shared" si="27"/>
        <v>0</v>
      </c>
      <c r="T176" s="463">
        <f t="shared" si="27"/>
        <v>0</v>
      </c>
      <c r="U176" s="463">
        <f t="shared" si="27"/>
        <v>0</v>
      </c>
      <c r="V176" s="463">
        <f t="shared" si="27"/>
        <v>0</v>
      </c>
      <c r="W176" s="463">
        <f t="shared" si="27"/>
        <v>0</v>
      </c>
      <c r="X176" s="463">
        <f t="shared" si="28"/>
        <v>0</v>
      </c>
      <c r="Y176" s="463">
        <f t="shared" si="28"/>
        <v>0</v>
      </c>
      <c r="Z176" s="463">
        <f t="shared" si="28"/>
        <v>0</v>
      </c>
      <c r="AA176" s="463">
        <f t="shared" si="28"/>
        <v>0</v>
      </c>
      <c r="AB176" s="463">
        <f t="shared" si="28"/>
        <v>1</v>
      </c>
      <c r="AC176" s="463">
        <f t="shared" si="28"/>
        <v>0</v>
      </c>
      <c r="AD176" s="463">
        <f t="shared" si="28"/>
        <v>0</v>
      </c>
      <c r="AE176" s="463">
        <f t="shared" si="28"/>
        <v>0</v>
      </c>
      <c r="AF176" s="621">
        <f t="shared" si="28"/>
        <v>0</v>
      </c>
      <c r="AG176" s="573"/>
      <c r="AH176" s="464"/>
      <c r="AI176" s="464"/>
      <c r="AJ176" s="464"/>
      <c r="AK176" s="464"/>
      <c r="AL176" s="465"/>
      <c r="AM176" s="463"/>
      <c r="AN176" s="464"/>
      <c r="AO176" s="464"/>
      <c r="AP176" s="464"/>
      <c r="AQ176" s="464"/>
      <c r="AR176" s="465"/>
      <c r="AS176" s="463"/>
      <c r="AT176" s="464"/>
      <c r="AU176" s="464"/>
      <c r="AV176" s="464"/>
      <c r="AW176" s="464"/>
      <c r="AX176" s="465"/>
      <c r="AY176" s="463"/>
      <c r="AZ176" s="464"/>
      <c r="BA176" s="464"/>
      <c r="BB176" s="464"/>
      <c r="BC176" s="464"/>
      <c r="BD176" s="465"/>
      <c r="BE176" s="463"/>
      <c r="BF176" s="464"/>
      <c r="BG176" s="464"/>
      <c r="BH176" s="464"/>
      <c r="BI176" s="464"/>
      <c r="BJ176" s="466"/>
    </row>
    <row r="177" spans="5:62" s="467" customFormat="1" ht="16.5" customHeight="1">
      <c r="E177" s="454" t="s">
        <v>1216</v>
      </c>
      <c r="F177" s="455"/>
      <c r="G177" s="456"/>
      <c r="H177" s="457"/>
      <c r="I177" s="458" t="s">
        <v>1208</v>
      </c>
      <c r="J177" s="566"/>
      <c r="K177" s="571" t="s">
        <v>1203</v>
      </c>
      <c r="L177" s="460" t="s">
        <v>1191</v>
      </c>
      <c r="M177" s="463">
        <f t="shared" si="27"/>
        <v>0</v>
      </c>
      <c r="N177" s="463">
        <f t="shared" si="27"/>
        <v>0</v>
      </c>
      <c r="O177" s="463">
        <f t="shared" si="27"/>
        <v>0</v>
      </c>
      <c r="P177" s="463">
        <f t="shared" si="27"/>
        <v>0</v>
      </c>
      <c r="Q177" s="463">
        <f t="shared" si="27"/>
        <v>0</v>
      </c>
      <c r="R177" s="463">
        <f t="shared" si="27"/>
        <v>0</v>
      </c>
      <c r="S177" s="463">
        <f t="shared" si="27"/>
        <v>0</v>
      </c>
      <c r="T177" s="463">
        <f t="shared" si="27"/>
        <v>0</v>
      </c>
      <c r="U177" s="463">
        <f t="shared" si="27"/>
        <v>0</v>
      </c>
      <c r="V177" s="463">
        <f t="shared" si="27"/>
        <v>0</v>
      </c>
      <c r="W177" s="463">
        <f t="shared" si="27"/>
        <v>0</v>
      </c>
      <c r="X177" s="463">
        <f t="shared" si="28"/>
        <v>0</v>
      </c>
      <c r="Y177" s="463">
        <f t="shared" si="28"/>
        <v>0</v>
      </c>
      <c r="Z177" s="463">
        <f t="shared" si="28"/>
        <v>0</v>
      </c>
      <c r="AA177" s="463">
        <f t="shared" si="28"/>
        <v>1</v>
      </c>
      <c r="AB177" s="463">
        <f t="shared" si="28"/>
        <v>0</v>
      </c>
      <c r="AC177" s="463">
        <f t="shared" si="28"/>
        <v>0</v>
      </c>
      <c r="AD177" s="463">
        <f t="shared" si="28"/>
        <v>0</v>
      </c>
      <c r="AE177" s="463">
        <f t="shared" si="28"/>
        <v>0</v>
      </c>
      <c r="AF177" s="621">
        <f t="shared" si="28"/>
        <v>0</v>
      </c>
      <c r="AG177" s="573"/>
      <c r="AH177" s="464"/>
      <c r="AI177" s="464"/>
      <c r="AJ177" s="464"/>
      <c r="AK177" s="464"/>
      <c r="AL177" s="465"/>
      <c r="AM177" s="463"/>
      <c r="AN177" s="464"/>
      <c r="AO177" s="464"/>
      <c r="AP177" s="464"/>
      <c r="AQ177" s="464"/>
      <c r="AR177" s="465"/>
      <c r="AS177" s="463"/>
      <c r="AT177" s="464"/>
      <c r="AU177" s="464"/>
      <c r="AV177" s="464"/>
      <c r="AW177" s="464"/>
      <c r="AX177" s="465"/>
      <c r="AY177" s="463"/>
      <c r="AZ177" s="464"/>
      <c r="BA177" s="464"/>
      <c r="BB177" s="464"/>
      <c r="BC177" s="464"/>
      <c r="BD177" s="465"/>
      <c r="BE177" s="463"/>
      <c r="BF177" s="464"/>
      <c r="BG177" s="464"/>
      <c r="BH177" s="464"/>
      <c r="BI177" s="464"/>
      <c r="BJ177" s="466"/>
    </row>
    <row r="178" spans="5:62" s="467" customFormat="1" ht="16.5" customHeight="1">
      <c r="E178" s="454" t="s">
        <v>1216</v>
      </c>
      <c r="F178" s="455"/>
      <c r="G178" s="456"/>
      <c r="H178" s="457"/>
      <c r="I178" s="458" t="s">
        <v>1208</v>
      </c>
      <c r="J178" s="566"/>
      <c r="K178" s="571" t="s">
        <v>1203</v>
      </c>
      <c r="L178" s="460" t="s">
        <v>1191</v>
      </c>
      <c r="M178" s="463">
        <f t="shared" si="27"/>
        <v>0</v>
      </c>
      <c r="N178" s="463">
        <f t="shared" si="27"/>
        <v>0</v>
      </c>
      <c r="O178" s="463">
        <f t="shared" si="27"/>
        <v>0</v>
      </c>
      <c r="P178" s="463">
        <f t="shared" si="27"/>
        <v>0</v>
      </c>
      <c r="Q178" s="463">
        <f t="shared" si="27"/>
        <v>0</v>
      </c>
      <c r="R178" s="463">
        <f t="shared" si="27"/>
        <v>0</v>
      </c>
      <c r="S178" s="463">
        <f t="shared" si="27"/>
        <v>0</v>
      </c>
      <c r="T178" s="463">
        <f t="shared" si="27"/>
        <v>0</v>
      </c>
      <c r="U178" s="463">
        <f t="shared" si="27"/>
        <v>0</v>
      </c>
      <c r="V178" s="463">
        <f t="shared" si="27"/>
        <v>0</v>
      </c>
      <c r="W178" s="463">
        <f t="shared" si="27"/>
        <v>0</v>
      </c>
      <c r="X178" s="463">
        <f t="shared" si="28"/>
        <v>0</v>
      </c>
      <c r="Y178" s="463">
        <f t="shared" si="28"/>
        <v>0</v>
      </c>
      <c r="Z178" s="463">
        <f t="shared" si="28"/>
        <v>0</v>
      </c>
      <c r="AA178" s="463">
        <f t="shared" si="28"/>
        <v>1</v>
      </c>
      <c r="AB178" s="463">
        <f t="shared" si="28"/>
        <v>0</v>
      </c>
      <c r="AC178" s="463">
        <f t="shared" si="28"/>
        <v>0</v>
      </c>
      <c r="AD178" s="463">
        <f t="shared" si="28"/>
        <v>0</v>
      </c>
      <c r="AE178" s="463">
        <f t="shared" si="28"/>
        <v>0</v>
      </c>
      <c r="AF178" s="621">
        <f t="shared" si="28"/>
        <v>0</v>
      </c>
      <c r="AG178" s="573"/>
      <c r="AH178" s="464"/>
      <c r="AI178" s="464"/>
      <c r="AJ178" s="464"/>
      <c r="AK178" s="464"/>
      <c r="AL178" s="465"/>
      <c r="AM178" s="463"/>
      <c r="AN178" s="464"/>
      <c r="AO178" s="464"/>
      <c r="AP178" s="464"/>
      <c r="AQ178" s="464"/>
      <c r="AR178" s="465"/>
      <c r="AS178" s="463"/>
      <c r="AT178" s="464"/>
      <c r="AU178" s="464"/>
      <c r="AV178" s="464"/>
      <c r="AW178" s="464"/>
      <c r="AX178" s="465"/>
      <c r="AY178" s="463"/>
      <c r="AZ178" s="464"/>
      <c r="BA178" s="464"/>
      <c r="BB178" s="464"/>
      <c r="BC178" s="464"/>
      <c r="BD178" s="465"/>
      <c r="BE178" s="463"/>
      <c r="BF178" s="464"/>
      <c r="BG178" s="464"/>
      <c r="BH178" s="464"/>
      <c r="BI178" s="464"/>
      <c r="BJ178" s="466"/>
    </row>
    <row r="179" spans="5:62" s="467" customFormat="1" ht="16.5" customHeight="1">
      <c r="E179" s="454" t="s">
        <v>1216</v>
      </c>
      <c r="F179" s="455"/>
      <c r="G179" s="456"/>
      <c r="H179" s="457"/>
      <c r="I179" s="458" t="s">
        <v>1209</v>
      </c>
      <c r="J179" s="566"/>
      <c r="K179" s="571" t="s">
        <v>1204</v>
      </c>
      <c r="L179" s="460" t="s">
        <v>1191</v>
      </c>
      <c r="M179" s="463">
        <f t="shared" si="27"/>
        <v>0</v>
      </c>
      <c r="N179" s="463">
        <f t="shared" si="27"/>
        <v>0</v>
      </c>
      <c r="O179" s="463">
        <f t="shared" si="27"/>
        <v>0</v>
      </c>
      <c r="P179" s="463">
        <f t="shared" si="27"/>
        <v>0</v>
      </c>
      <c r="Q179" s="463">
        <f t="shared" si="27"/>
        <v>0</v>
      </c>
      <c r="R179" s="463">
        <f t="shared" si="27"/>
        <v>0</v>
      </c>
      <c r="S179" s="463">
        <f t="shared" si="27"/>
        <v>0</v>
      </c>
      <c r="T179" s="463">
        <f t="shared" si="27"/>
        <v>0</v>
      </c>
      <c r="U179" s="463">
        <f t="shared" si="27"/>
        <v>0</v>
      </c>
      <c r="V179" s="463">
        <f t="shared" si="27"/>
        <v>0</v>
      </c>
      <c r="W179" s="463">
        <f t="shared" si="27"/>
        <v>0</v>
      </c>
      <c r="X179" s="463">
        <f t="shared" si="28"/>
        <v>0</v>
      </c>
      <c r="Y179" s="463">
        <f t="shared" si="28"/>
        <v>0</v>
      </c>
      <c r="Z179" s="463">
        <f t="shared" si="28"/>
        <v>0</v>
      </c>
      <c r="AA179" s="463">
        <f t="shared" si="28"/>
        <v>0</v>
      </c>
      <c r="AB179" s="463">
        <f t="shared" si="28"/>
        <v>1</v>
      </c>
      <c r="AC179" s="463">
        <f t="shared" si="28"/>
        <v>0</v>
      </c>
      <c r="AD179" s="463">
        <f t="shared" si="28"/>
        <v>0</v>
      </c>
      <c r="AE179" s="463">
        <f t="shared" si="28"/>
        <v>0</v>
      </c>
      <c r="AF179" s="621">
        <f t="shared" si="28"/>
        <v>0</v>
      </c>
      <c r="AG179" s="573"/>
      <c r="AH179" s="464"/>
      <c r="AI179" s="464"/>
      <c r="AJ179" s="464"/>
      <c r="AK179" s="464"/>
      <c r="AL179" s="465"/>
      <c r="AM179" s="463"/>
      <c r="AN179" s="464"/>
      <c r="AO179" s="464"/>
      <c r="AP179" s="464"/>
      <c r="AQ179" s="464"/>
      <c r="AR179" s="465"/>
      <c r="AS179" s="463"/>
      <c r="AT179" s="464"/>
      <c r="AU179" s="464"/>
      <c r="AV179" s="464"/>
      <c r="AW179" s="464"/>
      <c r="AX179" s="465"/>
      <c r="AY179" s="463"/>
      <c r="AZ179" s="464"/>
      <c r="BA179" s="464"/>
      <c r="BB179" s="464"/>
      <c r="BC179" s="464"/>
      <c r="BD179" s="465"/>
      <c r="BE179" s="463"/>
      <c r="BF179" s="464"/>
      <c r="BG179" s="464"/>
      <c r="BH179" s="464"/>
      <c r="BI179" s="464"/>
      <c r="BJ179" s="466"/>
    </row>
    <row r="180" spans="5:62" s="467" customFormat="1" ht="16.5" customHeight="1">
      <c r="E180" s="454" t="s">
        <v>1216</v>
      </c>
      <c r="F180" s="455"/>
      <c r="G180" s="456"/>
      <c r="H180" s="457"/>
      <c r="I180" s="458" t="s">
        <v>1208</v>
      </c>
      <c r="J180" s="566"/>
      <c r="K180" s="571" t="s">
        <v>1203</v>
      </c>
      <c r="L180" s="460" t="s">
        <v>1191</v>
      </c>
      <c r="M180" s="463">
        <f t="shared" si="27"/>
        <v>0</v>
      </c>
      <c r="N180" s="463">
        <f t="shared" si="27"/>
        <v>0</v>
      </c>
      <c r="O180" s="463">
        <f t="shared" si="27"/>
        <v>0</v>
      </c>
      <c r="P180" s="463">
        <f t="shared" si="27"/>
        <v>0</v>
      </c>
      <c r="Q180" s="463">
        <f t="shared" si="27"/>
        <v>0</v>
      </c>
      <c r="R180" s="463">
        <f t="shared" si="27"/>
        <v>0</v>
      </c>
      <c r="S180" s="463">
        <f t="shared" si="27"/>
        <v>0</v>
      </c>
      <c r="T180" s="463">
        <f t="shared" si="27"/>
        <v>0</v>
      </c>
      <c r="U180" s="463">
        <f t="shared" si="27"/>
        <v>0</v>
      </c>
      <c r="V180" s="463">
        <f t="shared" si="27"/>
        <v>0</v>
      </c>
      <c r="W180" s="463">
        <f t="shared" si="27"/>
        <v>0</v>
      </c>
      <c r="X180" s="463">
        <f t="shared" si="28"/>
        <v>0</v>
      </c>
      <c r="Y180" s="463">
        <f t="shared" si="28"/>
        <v>0</v>
      </c>
      <c r="Z180" s="463">
        <f t="shared" si="28"/>
        <v>0</v>
      </c>
      <c r="AA180" s="463">
        <f t="shared" si="28"/>
        <v>1</v>
      </c>
      <c r="AB180" s="463">
        <f t="shared" si="28"/>
        <v>0</v>
      </c>
      <c r="AC180" s="463">
        <f t="shared" si="28"/>
        <v>0</v>
      </c>
      <c r="AD180" s="463">
        <f t="shared" si="28"/>
        <v>0</v>
      </c>
      <c r="AE180" s="463">
        <f t="shared" si="28"/>
        <v>0</v>
      </c>
      <c r="AF180" s="621">
        <f t="shared" si="28"/>
        <v>0</v>
      </c>
      <c r="AG180" s="573"/>
      <c r="AH180" s="464"/>
      <c r="AI180" s="464"/>
      <c r="AJ180" s="464"/>
      <c r="AK180" s="464"/>
      <c r="AL180" s="465"/>
      <c r="AM180" s="463"/>
      <c r="AN180" s="464"/>
      <c r="AO180" s="464"/>
      <c r="AP180" s="464"/>
      <c r="AQ180" s="464"/>
      <c r="AR180" s="465"/>
      <c r="AS180" s="463"/>
      <c r="AT180" s="464"/>
      <c r="AU180" s="464"/>
      <c r="AV180" s="464"/>
      <c r="AW180" s="464"/>
      <c r="AX180" s="465"/>
      <c r="AY180" s="463"/>
      <c r="AZ180" s="464"/>
      <c r="BA180" s="464"/>
      <c r="BB180" s="464"/>
      <c r="BC180" s="464"/>
      <c r="BD180" s="465"/>
      <c r="BE180" s="463"/>
      <c r="BF180" s="464"/>
      <c r="BG180" s="464"/>
      <c r="BH180" s="464"/>
      <c r="BI180" s="464"/>
      <c r="BJ180" s="466"/>
    </row>
    <row r="181" spans="5:62" s="467" customFormat="1" ht="16.5" customHeight="1">
      <c r="E181" s="454" t="s">
        <v>1216</v>
      </c>
      <c r="F181" s="455"/>
      <c r="G181" s="456"/>
      <c r="H181" s="457"/>
      <c r="I181" s="458" t="s">
        <v>1208</v>
      </c>
      <c r="J181" s="566"/>
      <c r="K181" s="571" t="s">
        <v>1203</v>
      </c>
      <c r="L181" s="460" t="s">
        <v>1191</v>
      </c>
      <c r="M181" s="463">
        <f t="shared" si="27"/>
        <v>0</v>
      </c>
      <c r="N181" s="463">
        <f t="shared" si="27"/>
        <v>0</v>
      </c>
      <c r="O181" s="463">
        <f t="shared" si="27"/>
        <v>0</v>
      </c>
      <c r="P181" s="463">
        <f t="shared" si="27"/>
        <v>0</v>
      </c>
      <c r="Q181" s="463">
        <f t="shared" si="27"/>
        <v>0</v>
      </c>
      <c r="R181" s="463">
        <f t="shared" si="27"/>
        <v>0</v>
      </c>
      <c r="S181" s="463">
        <f t="shared" si="27"/>
        <v>0</v>
      </c>
      <c r="T181" s="463">
        <f t="shared" si="27"/>
        <v>0</v>
      </c>
      <c r="U181" s="463">
        <f t="shared" ref="M181:W185" si="31">+IF($L181=U$10,IF($K181=U$11,1,0),0)</f>
        <v>0</v>
      </c>
      <c r="V181" s="463">
        <f t="shared" si="31"/>
        <v>0</v>
      </c>
      <c r="W181" s="463">
        <f t="shared" si="31"/>
        <v>0</v>
      </c>
      <c r="X181" s="463">
        <f t="shared" si="28"/>
        <v>0</v>
      </c>
      <c r="Y181" s="463">
        <f t="shared" si="28"/>
        <v>0</v>
      </c>
      <c r="Z181" s="463">
        <f t="shared" si="28"/>
        <v>0</v>
      </c>
      <c r="AA181" s="463">
        <f t="shared" si="28"/>
        <v>1</v>
      </c>
      <c r="AB181" s="463">
        <f t="shared" si="28"/>
        <v>0</v>
      </c>
      <c r="AC181" s="463">
        <f t="shared" si="28"/>
        <v>0</v>
      </c>
      <c r="AD181" s="463">
        <f t="shared" si="28"/>
        <v>0</v>
      </c>
      <c r="AE181" s="463">
        <f t="shared" si="28"/>
        <v>0</v>
      </c>
      <c r="AF181" s="621">
        <f t="shared" si="28"/>
        <v>0</v>
      </c>
      <c r="AG181" s="573"/>
      <c r="AH181" s="464"/>
      <c r="AI181" s="464"/>
      <c r="AJ181" s="464"/>
      <c r="AK181" s="464"/>
      <c r="AL181" s="465"/>
      <c r="AM181" s="463"/>
      <c r="AN181" s="464"/>
      <c r="AO181" s="464"/>
      <c r="AP181" s="464"/>
      <c r="AQ181" s="464"/>
      <c r="AR181" s="465"/>
      <c r="AS181" s="463"/>
      <c r="AT181" s="464"/>
      <c r="AU181" s="464"/>
      <c r="AV181" s="464"/>
      <c r="AW181" s="464"/>
      <c r="AX181" s="465"/>
      <c r="AY181" s="463"/>
      <c r="AZ181" s="464"/>
      <c r="BA181" s="464"/>
      <c r="BB181" s="464"/>
      <c r="BC181" s="464"/>
      <c r="BD181" s="465"/>
      <c r="BE181" s="463"/>
      <c r="BF181" s="464"/>
      <c r="BG181" s="464"/>
      <c r="BH181" s="464"/>
      <c r="BI181" s="464"/>
      <c r="BJ181" s="466"/>
    </row>
    <row r="182" spans="5:62" s="467" customFormat="1" ht="16.5" customHeight="1">
      <c r="E182" s="454" t="s">
        <v>1216</v>
      </c>
      <c r="F182" s="455"/>
      <c r="G182" s="456"/>
      <c r="H182" s="457"/>
      <c r="I182" s="458" t="s">
        <v>1208</v>
      </c>
      <c r="J182" s="566"/>
      <c r="K182" s="571" t="s">
        <v>1203</v>
      </c>
      <c r="L182" s="460" t="s">
        <v>1191</v>
      </c>
      <c r="M182" s="463">
        <f t="shared" si="31"/>
        <v>0</v>
      </c>
      <c r="N182" s="463">
        <f t="shared" si="31"/>
        <v>0</v>
      </c>
      <c r="O182" s="463">
        <f t="shared" si="31"/>
        <v>0</v>
      </c>
      <c r="P182" s="463">
        <f t="shared" si="31"/>
        <v>0</v>
      </c>
      <c r="Q182" s="463">
        <f t="shared" si="31"/>
        <v>0</v>
      </c>
      <c r="R182" s="463">
        <f t="shared" si="31"/>
        <v>0</v>
      </c>
      <c r="S182" s="463">
        <f t="shared" si="31"/>
        <v>0</v>
      </c>
      <c r="T182" s="463">
        <f t="shared" si="31"/>
        <v>0</v>
      </c>
      <c r="U182" s="463">
        <f t="shared" si="31"/>
        <v>0</v>
      </c>
      <c r="V182" s="463">
        <f t="shared" si="31"/>
        <v>0</v>
      </c>
      <c r="W182" s="463">
        <f t="shared" si="31"/>
        <v>0</v>
      </c>
      <c r="X182" s="463">
        <f t="shared" si="28"/>
        <v>0</v>
      </c>
      <c r="Y182" s="463">
        <f t="shared" si="28"/>
        <v>0</v>
      </c>
      <c r="Z182" s="463">
        <f t="shared" si="28"/>
        <v>0</v>
      </c>
      <c r="AA182" s="463">
        <f t="shared" si="28"/>
        <v>1</v>
      </c>
      <c r="AB182" s="463">
        <f t="shared" si="28"/>
        <v>0</v>
      </c>
      <c r="AC182" s="463">
        <f t="shared" si="28"/>
        <v>0</v>
      </c>
      <c r="AD182" s="463">
        <f t="shared" si="28"/>
        <v>0</v>
      </c>
      <c r="AE182" s="463">
        <f t="shared" si="28"/>
        <v>0</v>
      </c>
      <c r="AF182" s="621">
        <f t="shared" si="28"/>
        <v>0</v>
      </c>
      <c r="AG182" s="573"/>
      <c r="AH182" s="464"/>
      <c r="AI182" s="464"/>
      <c r="AJ182" s="464"/>
      <c r="AK182" s="464"/>
      <c r="AL182" s="465"/>
      <c r="AM182" s="463"/>
      <c r="AN182" s="464"/>
      <c r="AO182" s="464"/>
      <c r="AP182" s="464"/>
      <c r="AQ182" s="464"/>
      <c r="AR182" s="465"/>
      <c r="AS182" s="463"/>
      <c r="AT182" s="464"/>
      <c r="AU182" s="464"/>
      <c r="AV182" s="464"/>
      <c r="AW182" s="464"/>
      <c r="AX182" s="465"/>
      <c r="AY182" s="463"/>
      <c r="AZ182" s="464"/>
      <c r="BA182" s="464"/>
      <c r="BB182" s="464"/>
      <c r="BC182" s="464"/>
      <c r="BD182" s="465"/>
      <c r="BE182" s="463"/>
      <c r="BF182" s="464"/>
      <c r="BG182" s="464"/>
      <c r="BH182" s="464"/>
      <c r="BI182" s="464"/>
      <c r="BJ182" s="466"/>
    </row>
    <row r="183" spans="5:62" s="467" customFormat="1" ht="16.5" customHeight="1">
      <c r="E183" s="454" t="s">
        <v>1216</v>
      </c>
      <c r="F183" s="455"/>
      <c r="G183" s="456"/>
      <c r="H183" s="457"/>
      <c r="I183" s="458" t="s">
        <v>1218</v>
      </c>
      <c r="J183" s="566"/>
      <c r="K183" s="571" t="s">
        <v>1206</v>
      </c>
      <c r="L183" s="460" t="s">
        <v>1191</v>
      </c>
      <c r="M183" s="463">
        <f t="shared" si="31"/>
        <v>0</v>
      </c>
      <c r="N183" s="463">
        <f t="shared" si="31"/>
        <v>0</v>
      </c>
      <c r="O183" s="463">
        <f t="shared" si="31"/>
        <v>0</v>
      </c>
      <c r="P183" s="463">
        <f t="shared" si="31"/>
        <v>0</v>
      </c>
      <c r="Q183" s="463">
        <f t="shared" si="31"/>
        <v>0</v>
      </c>
      <c r="R183" s="463">
        <f t="shared" si="31"/>
        <v>0</v>
      </c>
      <c r="S183" s="463">
        <f t="shared" si="31"/>
        <v>0</v>
      </c>
      <c r="T183" s="463">
        <f t="shared" si="31"/>
        <v>0</v>
      </c>
      <c r="U183" s="463">
        <f t="shared" si="31"/>
        <v>0</v>
      </c>
      <c r="V183" s="463">
        <f t="shared" si="31"/>
        <v>0</v>
      </c>
      <c r="W183" s="463">
        <f t="shared" si="31"/>
        <v>0</v>
      </c>
      <c r="X183" s="463">
        <f t="shared" si="28"/>
        <v>0</v>
      </c>
      <c r="Y183" s="463">
        <f t="shared" si="28"/>
        <v>0</v>
      </c>
      <c r="Z183" s="463">
        <f t="shared" si="28"/>
        <v>0</v>
      </c>
      <c r="AA183" s="463">
        <f t="shared" si="28"/>
        <v>0</v>
      </c>
      <c r="AB183" s="463">
        <f t="shared" si="28"/>
        <v>0</v>
      </c>
      <c r="AC183" s="463">
        <f t="shared" si="28"/>
        <v>0</v>
      </c>
      <c r="AD183" s="463">
        <f t="shared" si="28"/>
        <v>1</v>
      </c>
      <c r="AE183" s="463">
        <f t="shared" si="28"/>
        <v>0</v>
      </c>
      <c r="AF183" s="621">
        <f t="shared" si="28"/>
        <v>0</v>
      </c>
      <c r="AG183" s="573"/>
      <c r="AH183" s="464"/>
      <c r="AI183" s="464"/>
      <c r="AJ183" s="464"/>
      <c r="AK183" s="464"/>
      <c r="AL183" s="465"/>
      <c r="AM183" s="463"/>
      <c r="AN183" s="464"/>
      <c r="AO183" s="464"/>
      <c r="AP183" s="464"/>
      <c r="AQ183" s="464"/>
      <c r="AR183" s="465"/>
      <c r="AS183" s="463"/>
      <c r="AT183" s="464"/>
      <c r="AU183" s="464"/>
      <c r="AV183" s="464"/>
      <c r="AW183" s="464"/>
      <c r="AX183" s="465"/>
      <c r="AY183" s="463"/>
      <c r="AZ183" s="464"/>
      <c r="BA183" s="464"/>
      <c r="BB183" s="464"/>
      <c r="BC183" s="464"/>
      <c r="BD183" s="465"/>
      <c r="BE183" s="463"/>
      <c r="BF183" s="464"/>
      <c r="BG183" s="464"/>
      <c r="BH183" s="464"/>
      <c r="BI183" s="464"/>
      <c r="BJ183" s="466"/>
    </row>
    <row r="184" spans="5:62" s="467" customFormat="1" ht="16.5" customHeight="1">
      <c r="E184" s="454" t="s">
        <v>1216</v>
      </c>
      <c r="F184" s="455"/>
      <c r="G184" s="456"/>
      <c r="H184" s="457"/>
      <c r="I184" s="458" t="s">
        <v>1208</v>
      </c>
      <c r="J184" s="566"/>
      <c r="K184" s="571" t="s">
        <v>1203</v>
      </c>
      <c r="L184" s="460" t="s">
        <v>1191</v>
      </c>
      <c r="M184" s="463">
        <f t="shared" si="31"/>
        <v>0</v>
      </c>
      <c r="N184" s="463">
        <f t="shared" si="31"/>
        <v>0</v>
      </c>
      <c r="O184" s="463">
        <f t="shared" si="31"/>
        <v>0</v>
      </c>
      <c r="P184" s="463">
        <f t="shared" si="31"/>
        <v>0</v>
      </c>
      <c r="Q184" s="463">
        <f t="shared" si="31"/>
        <v>0</v>
      </c>
      <c r="R184" s="463">
        <f t="shared" si="31"/>
        <v>0</v>
      </c>
      <c r="S184" s="463">
        <f t="shared" si="31"/>
        <v>0</v>
      </c>
      <c r="T184" s="463">
        <f t="shared" si="31"/>
        <v>0</v>
      </c>
      <c r="U184" s="463">
        <f t="shared" si="31"/>
        <v>0</v>
      </c>
      <c r="V184" s="463">
        <f t="shared" si="31"/>
        <v>0</v>
      </c>
      <c r="W184" s="463">
        <f t="shared" si="31"/>
        <v>0</v>
      </c>
      <c r="X184" s="463">
        <f t="shared" si="28"/>
        <v>0</v>
      </c>
      <c r="Y184" s="463">
        <f t="shared" si="28"/>
        <v>0</v>
      </c>
      <c r="Z184" s="463">
        <f t="shared" si="28"/>
        <v>0</v>
      </c>
      <c r="AA184" s="463">
        <f t="shared" si="28"/>
        <v>1</v>
      </c>
      <c r="AB184" s="463">
        <f t="shared" si="28"/>
        <v>0</v>
      </c>
      <c r="AC184" s="463">
        <f t="shared" si="28"/>
        <v>0</v>
      </c>
      <c r="AD184" s="463">
        <f t="shared" si="28"/>
        <v>0</v>
      </c>
      <c r="AE184" s="463">
        <f t="shared" si="28"/>
        <v>0</v>
      </c>
      <c r="AF184" s="621">
        <f t="shared" si="28"/>
        <v>0</v>
      </c>
      <c r="AG184" s="573"/>
      <c r="AH184" s="464"/>
      <c r="AI184" s="464"/>
      <c r="AJ184" s="464"/>
      <c r="AK184" s="464"/>
      <c r="AL184" s="465"/>
      <c r="AM184" s="463"/>
      <c r="AN184" s="464"/>
      <c r="AO184" s="464"/>
      <c r="AP184" s="464"/>
      <c r="AQ184" s="464"/>
      <c r="AR184" s="465"/>
      <c r="AS184" s="463"/>
      <c r="AT184" s="464"/>
      <c r="AU184" s="464"/>
      <c r="AV184" s="464"/>
      <c r="AW184" s="464"/>
      <c r="AX184" s="465"/>
      <c r="AY184" s="463"/>
      <c r="AZ184" s="464"/>
      <c r="BA184" s="464"/>
      <c r="BB184" s="464"/>
      <c r="BC184" s="464"/>
      <c r="BD184" s="465"/>
      <c r="BE184" s="463"/>
      <c r="BF184" s="464"/>
      <c r="BG184" s="464"/>
      <c r="BH184" s="464"/>
      <c r="BI184" s="464"/>
      <c r="BJ184" s="466"/>
    </row>
    <row r="185" spans="5:62" s="467" customFormat="1" ht="16.5" customHeight="1">
      <c r="E185" s="454" t="s">
        <v>1216</v>
      </c>
      <c r="F185" s="455"/>
      <c r="G185" s="456"/>
      <c r="H185" s="457"/>
      <c r="I185" s="458" t="s">
        <v>1218</v>
      </c>
      <c r="J185" s="566"/>
      <c r="K185" s="571" t="s">
        <v>1206</v>
      </c>
      <c r="L185" s="460" t="s">
        <v>1191</v>
      </c>
      <c r="M185" s="463">
        <f t="shared" si="31"/>
        <v>0</v>
      </c>
      <c r="N185" s="463">
        <f t="shared" si="31"/>
        <v>0</v>
      </c>
      <c r="O185" s="463">
        <f t="shared" si="31"/>
        <v>0</v>
      </c>
      <c r="P185" s="463">
        <f t="shared" si="31"/>
        <v>0</v>
      </c>
      <c r="Q185" s="463">
        <f t="shared" si="31"/>
        <v>0</v>
      </c>
      <c r="R185" s="463">
        <f t="shared" si="31"/>
        <v>0</v>
      </c>
      <c r="S185" s="463">
        <f t="shared" si="31"/>
        <v>0</v>
      </c>
      <c r="T185" s="463">
        <f t="shared" si="31"/>
        <v>0</v>
      </c>
      <c r="U185" s="463">
        <f t="shared" si="31"/>
        <v>0</v>
      </c>
      <c r="V185" s="463">
        <f t="shared" si="31"/>
        <v>0</v>
      </c>
      <c r="W185" s="463">
        <f t="shared" si="31"/>
        <v>0</v>
      </c>
      <c r="X185" s="463">
        <f t="shared" si="28"/>
        <v>0</v>
      </c>
      <c r="Y185" s="463">
        <f t="shared" si="28"/>
        <v>0</v>
      </c>
      <c r="Z185" s="463">
        <f t="shared" si="28"/>
        <v>0</v>
      </c>
      <c r="AA185" s="463">
        <f t="shared" si="28"/>
        <v>0</v>
      </c>
      <c r="AB185" s="463">
        <f t="shared" si="28"/>
        <v>0</v>
      </c>
      <c r="AC185" s="463">
        <f t="shared" si="28"/>
        <v>0</v>
      </c>
      <c r="AD185" s="463">
        <f t="shared" si="28"/>
        <v>1</v>
      </c>
      <c r="AE185" s="463">
        <f t="shared" si="28"/>
        <v>0</v>
      </c>
      <c r="AF185" s="621">
        <f t="shared" si="28"/>
        <v>0</v>
      </c>
      <c r="AG185" s="573"/>
      <c r="AH185" s="464"/>
      <c r="AI185" s="464"/>
      <c r="AJ185" s="464"/>
      <c r="AK185" s="464"/>
      <c r="AL185" s="465"/>
      <c r="AM185" s="463"/>
      <c r="AN185" s="464"/>
      <c r="AO185" s="464"/>
      <c r="AP185" s="464"/>
      <c r="AQ185" s="464"/>
      <c r="AR185" s="465"/>
      <c r="AS185" s="463"/>
      <c r="AT185" s="464"/>
      <c r="AU185" s="464"/>
      <c r="AV185" s="464"/>
      <c r="AW185" s="464"/>
      <c r="AX185" s="465"/>
      <c r="AY185" s="463"/>
      <c r="AZ185" s="464"/>
      <c r="BA185" s="464"/>
      <c r="BB185" s="464"/>
      <c r="BC185" s="464"/>
      <c r="BD185" s="465"/>
      <c r="BE185" s="463"/>
      <c r="BF185" s="464"/>
      <c r="BG185" s="464"/>
      <c r="BH185" s="464"/>
      <c r="BI185" s="464"/>
      <c r="BJ185" s="466"/>
    </row>
    <row r="186" spans="5:62" s="579" customFormat="1" ht="16.5" hidden="1" customHeight="1">
      <c r="E186" s="435" t="s">
        <v>1219</v>
      </c>
      <c r="F186" s="436"/>
      <c r="G186" s="437"/>
      <c r="H186" s="438" t="str">
        <f>+CONCATENATE(F186,"-",G186)</f>
        <v>-</v>
      </c>
      <c r="I186" s="439"/>
      <c r="J186" s="565"/>
      <c r="K186" s="580"/>
      <c r="L186" s="441"/>
      <c r="M186" s="444">
        <f>SUM(M187:M298)</f>
        <v>4</v>
      </c>
      <c r="N186" s="444">
        <f t="shared" ref="N186:AG186" si="32">SUM(N187:N298)</f>
        <v>6</v>
      </c>
      <c r="O186" s="444">
        <f t="shared" si="32"/>
        <v>14</v>
      </c>
      <c r="P186" s="444">
        <f t="shared" si="32"/>
        <v>5</v>
      </c>
      <c r="Q186" s="444">
        <f t="shared" si="32"/>
        <v>5</v>
      </c>
      <c r="R186" s="444">
        <f t="shared" si="32"/>
        <v>0</v>
      </c>
      <c r="S186" s="444">
        <f t="shared" si="32"/>
        <v>45</v>
      </c>
      <c r="T186" s="444">
        <f t="shared" si="32"/>
        <v>31</v>
      </c>
      <c r="U186" s="444">
        <f t="shared" si="32"/>
        <v>0</v>
      </c>
      <c r="V186" s="444">
        <f t="shared" si="32"/>
        <v>0</v>
      </c>
      <c r="W186" s="444">
        <f t="shared" si="32"/>
        <v>0</v>
      </c>
      <c r="X186" s="444">
        <f t="shared" si="32"/>
        <v>1</v>
      </c>
      <c r="Y186" s="444">
        <f t="shared" si="32"/>
        <v>0</v>
      </c>
      <c r="Z186" s="444">
        <f t="shared" si="32"/>
        <v>0</v>
      </c>
      <c r="AA186" s="444">
        <f t="shared" si="32"/>
        <v>37</v>
      </c>
      <c r="AB186" s="444">
        <f t="shared" si="32"/>
        <v>34</v>
      </c>
      <c r="AC186" s="444">
        <f t="shared" si="32"/>
        <v>0</v>
      </c>
      <c r="AD186" s="444">
        <f t="shared" si="32"/>
        <v>4</v>
      </c>
      <c r="AE186" s="444">
        <f t="shared" si="32"/>
        <v>0</v>
      </c>
      <c r="AF186" s="620">
        <f t="shared" si="32"/>
        <v>0</v>
      </c>
      <c r="AG186" s="619">
        <f t="shared" si="32"/>
        <v>0</v>
      </c>
      <c r="AH186" s="445"/>
      <c r="AI186" s="445"/>
      <c r="AJ186" s="445"/>
      <c r="AK186" s="445"/>
      <c r="AL186" s="446"/>
      <c r="AM186" s="444"/>
      <c r="AN186" s="445"/>
      <c r="AO186" s="445"/>
      <c r="AP186" s="445"/>
      <c r="AQ186" s="445"/>
      <c r="AR186" s="446"/>
      <c r="AS186" s="444"/>
      <c r="AT186" s="445"/>
      <c r="AU186" s="445"/>
      <c r="AV186" s="445"/>
      <c r="AW186" s="445"/>
      <c r="AX186" s="446"/>
      <c r="AY186" s="444"/>
      <c r="AZ186" s="445"/>
      <c r="BA186" s="445"/>
      <c r="BB186" s="445"/>
      <c r="BC186" s="445"/>
      <c r="BD186" s="446"/>
      <c r="BE186" s="444"/>
      <c r="BF186" s="445"/>
      <c r="BG186" s="445"/>
      <c r="BH186" s="445">
        <f>+IF($I186=BH$10,IF($L186=BH$11,#REF!,0),0)</f>
        <v>0</v>
      </c>
      <c r="BI186" s="445">
        <f>+IF($I186=BI$10,IF($L186=BI$11,#REF!,0),0)</f>
        <v>0</v>
      </c>
      <c r="BJ186" s="468">
        <f>+IF($I186=BJ$10,IF($L186=BJ$11,#REF!,0),0)</f>
        <v>0</v>
      </c>
    </row>
    <row r="187" spans="5:62" s="467" customFormat="1" ht="16.5" hidden="1" customHeight="1">
      <c r="E187" s="454" t="s">
        <v>1217</v>
      </c>
      <c r="F187" s="455"/>
      <c r="G187" s="456"/>
      <c r="H187" s="457" t="str">
        <f t="shared" si="16"/>
        <v>-</v>
      </c>
      <c r="I187" s="458" t="s">
        <v>1194</v>
      </c>
      <c r="J187" s="566"/>
      <c r="K187" s="571">
        <v>250</v>
      </c>
      <c r="L187" s="460" t="s">
        <v>1188</v>
      </c>
      <c r="M187" s="463">
        <f t="shared" ref="M187:AB275" si="33">+IF($L187=M$10,IF($K187=M$11,1,0),0)</f>
        <v>0</v>
      </c>
      <c r="N187" s="463">
        <f t="shared" si="33"/>
        <v>0</v>
      </c>
      <c r="O187" s="463">
        <f t="shared" si="33"/>
        <v>0</v>
      </c>
      <c r="P187" s="463">
        <f t="shared" si="33"/>
        <v>1</v>
      </c>
      <c r="Q187" s="463">
        <f t="shared" si="33"/>
        <v>0</v>
      </c>
      <c r="R187" s="463">
        <f t="shared" si="33"/>
        <v>0</v>
      </c>
      <c r="S187" s="463">
        <f t="shared" si="33"/>
        <v>0</v>
      </c>
      <c r="T187" s="463">
        <f t="shared" si="33"/>
        <v>0</v>
      </c>
      <c r="U187" s="463">
        <f t="shared" si="33"/>
        <v>0</v>
      </c>
      <c r="V187" s="463">
        <f t="shared" si="33"/>
        <v>0</v>
      </c>
      <c r="W187" s="463">
        <f t="shared" si="33"/>
        <v>0</v>
      </c>
      <c r="X187" s="463">
        <f t="shared" si="33"/>
        <v>0</v>
      </c>
      <c r="Y187" s="463">
        <f t="shared" si="33"/>
        <v>0</v>
      </c>
      <c r="Z187" s="463">
        <f t="shared" si="33"/>
        <v>0</v>
      </c>
      <c r="AA187" s="463">
        <f t="shared" si="33"/>
        <v>0</v>
      </c>
      <c r="AB187" s="463">
        <f t="shared" si="33"/>
        <v>0</v>
      </c>
      <c r="AC187" s="463">
        <f t="shared" ref="X187:AF275" si="34">+IF($L187=AC$10,IF($K187=AC$11,1,0),0)</f>
        <v>0</v>
      </c>
      <c r="AD187" s="463">
        <f t="shared" si="34"/>
        <v>0</v>
      </c>
      <c r="AE187" s="463">
        <f t="shared" si="34"/>
        <v>0</v>
      </c>
      <c r="AF187" s="621">
        <f t="shared" si="34"/>
        <v>0</v>
      </c>
      <c r="AG187" s="573"/>
      <c r="AH187" s="464"/>
      <c r="AI187" s="464"/>
      <c r="AJ187" s="464"/>
      <c r="AK187" s="464"/>
      <c r="AL187" s="465"/>
      <c r="AM187" s="463"/>
      <c r="AN187" s="464"/>
      <c r="AO187" s="464"/>
      <c r="AP187" s="464"/>
      <c r="AQ187" s="464"/>
      <c r="AR187" s="465"/>
      <c r="AS187" s="463"/>
      <c r="AT187" s="464"/>
      <c r="AU187" s="464"/>
      <c r="AV187" s="464"/>
      <c r="AW187" s="464"/>
      <c r="AX187" s="465"/>
      <c r="AY187" s="463"/>
      <c r="AZ187" s="464"/>
      <c r="BA187" s="464"/>
      <c r="BB187" s="464"/>
      <c r="BC187" s="464"/>
      <c r="BD187" s="465"/>
      <c r="BE187" s="463"/>
      <c r="BF187" s="464"/>
      <c r="BG187" s="464"/>
      <c r="BH187" s="464">
        <f>+IF($I187=BH$10,IF($L187=BH$11,#REF!,0),0)</f>
        <v>0</v>
      </c>
      <c r="BI187" s="464">
        <f>+IF($I187=BI$10,IF($L187=BI$11,#REF!,0),0)</f>
        <v>0</v>
      </c>
      <c r="BJ187" s="466">
        <f>+IF($I187=BJ$10,IF($L187=BJ$11,#REF!,0),0)</f>
        <v>0</v>
      </c>
    </row>
    <row r="188" spans="5:62" s="467" customFormat="1" ht="16.5" hidden="1" customHeight="1">
      <c r="E188" s="454" t="s">
        <v>1217</v>
      </c>
      <c r="F188" s="455"/>
      <c r="G188" s="456"/>
      <c r="H188" s="457" t="str">
        <f t="shared" si="16"/>
        <v>-</v>
      </c>
      <c r="I188" s="458" t="s">
        <v>1194</v>
      </c>
      <c r="J188" s="566"/>
      <c r="K188" s="571">
        <v>250</v>
      </c>
      <c r="L188" s="460" t="s">
        <v>1188</v>
      </c>
      <c r="M188" s="463">
        <f t="shared" si="33"/>
        <v>0</v>
      </c>
      <c r="N188" s="463">
        <f t="shared" si="33"/>
        <v>0</v>
      </c>
      <c r="O188" s="463">
        <f t="shared" si="33"/>
        <v>0</v>
      </c>
      <c r="P188" s="463">
        <f t="shared" si="33"/>
        <v>1</v>
      </c>
      <c r="Q188" s="463">
        <f t="shared" si="33"/>
        <v>0</v>
      </c>
      <c r="R188" s="463">
        <f t="shared" si="33"/>
        <v>0</v>
      </c>
      <c r="S188" s="463">
        <f t="shared" si="33"/>
        <v>0</v>
      </c>
      <c r="T188" s="463">
        <f t="shared" si="33"/>
        <v>0</v>
      </c>
      <c r="U188" s="463">
        <f t="shared" si="33"/>
        <v>0</v>
      </c>
      <c r="V188" s="463">
        <f t="shared" si="33"/>
        <v>0</v>
      </c>
      <c r="W188" s="463">
        <f t="shared" si="33"/>
        <v>0</v>
      </c>
      <c r="X188" s="463">
        <f t="shared" si="34"/>
        <v>0</v>
      </c>
      <c r="Y188" s="463">
        <f t="shared" si="34"/>
        <v>0</v>
      </c>
      <c r="Z188" s="463">
        <f t="shared" si="34"/>
        <v>0</v>
      </c>
      <c r="AA188" s="463">
        <f t="shared" si="34"/>
        <v>0</v>
      </c>
      <c r="AB188" s="463">
        <f t="shared" si="34"/>
        <v>0</v>
      </c>
      <c r="AC188" s="463">
        <f t="shared" si="34"/>
        <v>0</v>
      </c>
      <c r="AD188" s="463">
        <f t="shared" si="34"/>
        <v>0</v>
      </c>
      <c r="AE188" s="463">
        <f t="shared" si="34"/>
        <v>0</v>
      </c>
      <c r="AF188" s="621">
        <f t="shared" si="34"/>
        <v>0</v>
      </c>
      <c r="AG188" s="573"/>
      <c r="AH188" s="464"/>
      <c r="AI188" s="464"/>
      <c r="AJ188" s="464"/>
      <c r="AK188" s="464"/>
      <c r="AL188" s="465"/>
      <c r="AM188" s="463"/>
      <c r="AN188" s="464"/>
      <c r="AO188" s="464"/>
      <c r="AP188" s="464"/>
      <c r="AQ188" s="464"/>
      <c r="AR188" s="465"/>
      <c r="AS188" s="463"/>
      <c r="AT188" s="464"/>
      <c r="AU188" s="464"/>
      <c r="AV188" s="464"/>
      <c r="AW188" s="464"/>
      <c r="AX188" s="465"/>
      <c r="AY188" s="463"/>
      <c r="AZ188" s="464"/>
      <c r="BA188" s="464"/>
      <c r="BB188" s="464"/>
      <c r="BC188" s="464"/>
      <c r="BD188" s="465"/>
      <c r="BE188" s="463"/>
      <c r="BF188" s="464"/>
      <c r="BG188" s="464"/>
      <c r="BH188" s="464">
        <f>+IF($I188=BH$10,IF($L188=BH$11,#REF!,0),0)</f>
        <v>0</v>
      </c>
      <c r="BI188" s="464">
        <f>+IF($I188=BI$10,IF($L188=BI$11,#REF!,0),0)</f>
        <v>0</v>
      </c>
      <c r="BJ188" s="466">
        <f>+IF($I188=BJ$10,IF($L188=BJ$11,#REF!,0),0)</f>
        <v>0</v>
      </c>
    </row>
    <row r="189" spans="5:62" s="467" customFormat="1" ht="16.5" hidden="1" customHeight="1">
      <c r="E189" s="454" t="s">
        <v>1217</v>
      </c>
      <c r="F189" s="455"/>
      <c r="G189" s="456"/>
      <c r="H189" s="457" t="str">
        <f t="shared" si="16"/>
        <v>-</v>
      </c>
      <c r="I189" s="458" t="s">
        <v>1194</v>
      </c>
      <c r="J189" s="566"/>
      <c r="K189" s="571">
        <v>150</v>
      </c>
      <c r="L189" s="460" t="s">
        <v>1188</v>
      </c>
      <c r="M189" s="463">
        <f t="shared" si="33"/>
        <v>0</v>
      </c>
      <c r="N189" s="463">
        <f t="shared" si="33"/>
        <v>1</v>
      </c>
      <c r="O189" s="463">
        <f t="shared" si="33"/>
        <v>0</v>
      </c>
      <c r="P189" s="463">
        <f t="shared" si="33"/>
        <v>0</v>
      </c>
      <c r="Q189" s="463">
        <f t="shared" si="33"/>
        <v>0</v>
      </c>
      <c r="R189" s="463">
        <f t="shared" si="33"/>
        <v>0</v>
      </c>
      <c r="S189" s="463">
        <f t="shared" si="33"/>
        <v>0</v>
      </c>
      <c r="T189" s="463">
        <f t="shared" si="33"/>
        <v>0</v>
      </c>
      <c r="U189" s="463">
        <f t="shared" si="33"/>
        <v>0</v>
      </c>
      <c r="V189" s="463">
        <f t="shared" si="33"/>
        <v>0</v>
      </c>
      <c r="W189" s="463">
        <f t="shared" si="33"/>
        <v>0</v>
      </c>
      <c r="X189" s="463">
        <f t="shared" si="34"/>
        <v>0</v>
      </c>
      <c r="Y189" s="463">
        <f t="shared" si="34"/>
        <v>0</v>
      </c>
      <c r="Z189" s="463">
        <f t="shared" si="34"/>
        <v>0</v>
      </c>
      <c r="AA189" s="463">
        <f t="shared" si="34"/>
        <v>0</v>
      </c>
      <c r="AB189" s="463">
        <f t="shared" si="34"/>
        <v>0</v>
      </c>
      <c r="AC189" s="463">
        <f t="shared" si="34"/>
        <v>0</v>
      </c>
      <c r="AD189" s="463">
        <f t="shared" si="34"/>
        <v>0</v>
      </c>
      <c r="AE189" s="463">
        <f t="shared" si="34"/>
        <v>0</v>
      </c>
      <c r="AF189" s="621">
        <f t="shared" si="34"/>
        <v>0</v>
      </c>
      <c r="AG189" s="573"/>
      <c r="AH189" s="464"/>
      <c r="AI189" s="464"/>
      <c r="AJ189" s="464"/>
      <c r="AK189" s="464"/>
      <c r="AL189" s="465"/>
      <c r="AM189" s="463"/>
      <c r="AN189" s="464"/>
      <c r="AO189" s="464"/>
      <c r="AP189" s="464"/>
      <c r="AQ189" s="464"/>
      <c r="AR189" s="465"/>
      <c r="AS189" s="463"/>
      <c r="AT189" s="464"/>
      <c r="AU189" s="464"/>
      <c r="AV189" s="464"/>
      <c r="AW189" s="464"/>
      <c r="AX189" s="465"/>
      <c r="AY189" s="463"/>
      <c r="AZ189" s="464"/>
      <c r="BA189" s="464"/>
      <c r="BB189" s="464"/>
      <c r="BC189" s="464"/>
      <c r="BD189" s="465"/>
      <c r="BE189" s="463"/>
      <c r="BF189" s="464"/>
      <c r="BG189" s="464"/>
      <c r="BH189" s="464">
        <f>+IF($I189=BH$10,IF($L189=BH$11,#REF!,0),0)</f>
        <v>0</v>
      </c>
      <c r="BI189" s="464">
        <f>+IF($I189=BI$10,IF($L189=BI$11,#REF!,0),0)</f>
        <v>0</v>
      </c>
      <c r="BJ189" s="466">
        <f>+IF($I189=BJ$10,IF($L189=BJ$11,#REF!,0),0)</f>
        <v>0</v>
      </c>
    </row>
    <row r="190" spans="5:62" s="467" customFormat="1" ht="16.5" hidden="1" customHeight="1">
      <c r="E190" s="454" t="s">
        <v>1217</v>
      </c>
      <c r="F190" s="455"/>
      <c r="G190" s="456"/>
      <c r="H190" s="457" t="str">
        <f t="shared" si="16"/>
        <v>-</v>
      </c>
      <c r="I190" s="458" t="s">
        <v>1194</v>
      </c>
      <c r="J190" s="566"/>
      <c r="K190" s="571">
        <v>250</v>
      </c>
      <c r="L190" s="460" t="s">
        <v>1188</v>
      </c>
      <c r="M190" s="463">
        <f t="shared" si="33"/>
        <v>0</v>
      </c>
      <c r="N190" s="463">
        <f t="shared" si="33"/>
        <v>0</v>
      </c>
      <c r="O190" s="463">
        <f t="shared" si="33"/>
        <v>0</v>
      </c>
      <c r="P190" s="463">
        <f t="shared" si="33"/>
        <v>1</v>
      </c>
      <c r="Q190" s="463">
        <f t="shared" si="33"/>
        <v>0</v>
      </c>
      <c r="R190" s="463">
        <f t="shared" si="33"/>
        <v>0</v>
      </c>
      <c r="S190" s="463">
        <f t="shared" si="33"/>
        <v>0</v>
      </c>
      <c r="T190" s="463">
        <f t="shared" si="33"/>
        <v>0</v>
      </c>
      <c r="U190" s="463">
        <f t="shared" si="33"/>
        <v>0</v>
      </c>
      <c r="V190" s="463">
        <f t="shared" si="33"/>
        <v>0</v>
      </c>
      <c r="W190" s="463">
        <f t="shared" si="33"/>
        <v>0</v>
      </c>
      <c r="X190" s="463">
        <f t="shared" si="34"/>
        <v>0</v>
      </c>
      <c r="Y190" s="463">
        <f t="shared" si="34"/>
        <v>0</v>
      </c>
      <c r="Z190" s="463">
        <f t="shared" si="34"/>
        <v>0</v>
      </c>
      <c r="AA190" s="463">
        <f t="shared" si="34"/>
        <v>0</v>
      </c>
      <c r="AB190" s="463">
        <f t="shared" si="34"/>
        <v>0</v>
      </c>
      <c r="AC190" s="463">
        <f t="shared" si="34"/>
        <v>0</v>
      </c>
      <c r="AD190" s="463">
        <f t="shared" si="34"/>
        <v>0</v>
      </c>
      <c r="AE190" s="463">
        <f t="shared" si="34"/>
        <v>0</v>
      </c>
      <c r="AF190" s="621">
        <f t="shared" si="34"/>
        <v>0</v>
      </c>
      <c r="AG190" s="573"/>
      <c r="AH190" s="464"/>
      <c r="AI190" s="464"/>
      <c r="AJ190" s="464"/>
      <c r="AK190" s="464"/>
      <c r="AL190" s="465"/>
      <c r="AM190" s="463"/>
      <c r="AN190" s="464"/>
      <c r="AO190" s="464"/>
      <c r="AP190" s="464"/>
      <c r="AQ190" s="464"/>
      <c r="AR190" s="465"/>
      <c r="AS190" s="463"/>
      <c r="AT190" s="464"/>
      <c r="AU190" s="464"/>
      <c r="AV190" s="464"/>
      <c r="AW190" s="464"/>
      <c r="AX190" s="465"/>
      <c r="AY190" s="463"/>
      <c r="AZ190" s="464"/>
      <c r="BA190" s="464"/>
      <c r="BB190" s="464"/>
      <c r="BC190" s="464"/>
      <c r="BD190" s="465"/>
      <c r="BE190" s="463"/>
      <c r="BF190" s="464"/>
      <c r="BG190" s="464"/>
      <c r="BH190" s="464">
        <f>+IF($I190=BH$10,IF($L190=BH$11,#REF!,0),0)</f>
        <v>0</v>
      </c>
      <c r="BI190" s="464">
        <f>+IF($I190=BI$10,IF($L190=BI$11,#REF!,0),0)</f>
        <v>0</v>
      </c>
      <c r="BJ190" s="466">
        <f>+IF($I190=BJ$10,IF($L190=BJ$11,#REF!,0),0)</f>
        <v>0</v>
      </c>
    </row>
    <row r="191" spans="5:62" s="467" customFormat="1" ht="16.5" hidden="1" customHeight="1">
      <c r="E191" s="454" t="s">
        <v>1217</v>
      </c>
      <c r="F191" s="455"/>
      <c r="G191" s="456"/>
      <c r="H191" s="457" t="str">
        <f t="shared" ref="H191:H221" si="35">+CONCATENATE(F191,"-",G191)</f>
        <v>-</v>
      </c>
      <c r="I191" s="458" t="s">
        <v>1197</v>
      </c>
      <c r="J191" s="566" t="s">
        <v>1198</v>
      </c>
      <c r="K191" s="571">
        <v>300</v>
      </c>
      <c r="L191" s="460" t="s">
        <v>1188</v>
      </c>
      <c r="M191" s="463">
        <f t="shared" ref="M191:AB221" si="36">+IF($L191=M$10,IF($K191=M$11,1,0),0)</f>
        <v>0</v>
      </c>
      <c r="N191" s="463">
        <f t="shared" si="36"/>
        <v>0</v>
      </c>
      <c r="O191" s="463">
        <f t="shared" si="36"/>
        <v>0</v>
      </c>
      <c r="P191" s="463">
        <f t="shared" si="36"/>
        <v>0</v>
      </c>
      <c r="Q191" s="463">
        <f t="shared" si="36"/>
        <v>1</v>
      </c>
      <c r="R191" s="463">
        <f t="shared" si="36"/>
        <v>0</v>
      </c>
      <c r="S191" s="463">
        <f t="shared" si="36"/>
        <v>0</v>
      </c>
      <c r="T191" s="463">
        <f t="shared" si="36"/>
        <v>0</v>
      </c>
      <c r="U191" s="463">
        <f t="shared" si="36"/>
        <v>0</v>
      </c>
      <c r="V191" s="463">
        <f t="shared" si="36"/>
        <v>0</v>
      </c>
      <c r="W191" s="463">
        <f t="shared" si="36"/>
        <v>0</v>
      </c>
      <c r="X191" s="463">
        <f t="shared" si="36"/>
        <v>0</v>
      </c>
      <c r="Y191" s="463">
        <f t="shared" si="36"/>
        <v>0</v>
      </c>
      <c r="Z191" s="463">
        <f t="shared" si="36"/>
        <v>0</v>
      </c>
      <c r="AA191" s="463">
        <f t="shared" si="36"/>
        <v>0</v>
      </c>
      <c r="AB191" s="463">
        <f t="shared" si="36"/>
        <v>0</v>
      </c>
      <c r="AC191" s="463">
        <f t="shared" ref="X191:AF221" si="37">+IF($L191=AC$10,IF($K191=AC$11,1,0),0)</f>
        <v>0</v>
      </c>
      <c r="AD191" s="463">
        <f t="shared" si="37"/>
        <v>0</v>
      </c>
      <c r="AE191" s="463">
        <f t="shared" si="37"/>
        <v>0</v>
      </c>
      <c r="AF191" s="621">
        <f t="shared" si="37"/>
        <v>0</v>
      </c>
      <c r="AG191" s="573"/>
      <c r="AH191" s="464"/>
      <c r="AI191" s="464"/>
      <c r="AJ191" s="464"/>
      <c r="AK191" s="464"/>
      <c r="AL191" s="465"/>
      <c r="AM191" s="463"/>
      <c r="AN191" s="464"/>
      <c r="AO191" s="464"/>
      <c r="AP191" s="464"/>
      <c r="AQ191" s="464"/>
      <c r="AR191" s="465"/>
      <c r="AS191" s="463"/>
      <c r="AT191" s="464"/>
      <c r="AU191" s="464"/>
      <c r="AV191" s="464"/>
      <c r="AW191" s="464"/>
      <c r="AX191" s="465"/>
      <c r="AY191" s="463"/>
      <c r="AZ191" s="464"/>
      <c r="BA191" s="464"/>
      <c r="BB191" s="464"/>
      <c r="BC191" s="464"/>
      <c r="BD191" s="465"/>
      <c r="BE191" s="463"/>
      <c r="BF191" s="464"/>
      <c r="BG191" s="464"/>
      <c r="BH191" s="464">
        <f>+IF($I191=BH$10,IF($L191=BH$11,#REF!,0),0)</f>
        <v>0</v>
      </c>
      <c r="BI191" s="464">
        <f>+IF($I191=BI$10,IF($L191=BI$11,#REF!,0),0)</f>
        <v>0</v>
      </c>
      <c r="BJ191" s="466">
        <f>+IF($I191=BJ$10,IF($L191=BJ$11,#REF!,0),0)</f>
        <v>0</v>
      </c>
    </row>
    <row r="192" spans="5:62" s="467" customFormat="1" ht="16.5" hidden="1" customHeight="1">
      <c r="E192" s="454" t="s">
        <v>1217</v>
      </c>
      <c r="F192" s="455"/>
      <c r="G192" s="456"/>
      <c r="H192" s="457" t="str">
        <f t="shared" si="35"/>
        <v>-</v>
      </c>
      <c r="I192" s="458" t="s">
        <v>1193</v>
      </c>
      <c r="J192" s="566" t="s">
        <v>1196</v>
      </c>
      <c r="K192" s="571">
        <v>150</v>
      </c>
      <c r="L192" s="460" t="s">
        <v>1188</v>
      </c>
      <c r="M192" s="463">
        <f t="shared" si="36"/>
        <v>0</v>
      </c>
      <c r="N192" s="463">
        <f t="shared" si="36"/>
        <v>1</v>
      </c>
      <c r="O192" s="463">
        <f t="shared" si="36"/>
        <v>0</v>
      </c>
      <c r="P192" s="463">
        <f t="shared" si="36"/>
        <v>0</v>
      </c>
      <c r="Q192" s="463">
        <f t="shared" si="36"/>
        <v>0</v>
      </c>
      <c r="R192" s="463">
        <f t="shared" si="36"/>
        <v>0</v>
      </c>
      <c r="S192" s="463">
        <f t="shared" si="36"/>
        <v>0</v>
      </c>
      <c r="T192" s="463">
        <f t="shared" si="36"/>
        <v>0</v>
      </c>
      <c r="U192" s="463">
        <f t="shared" si="36"/>
        <v>0</v>
      </c>
      <c r="V192" s="463">
        <f t="shared" si="36"/>
        <v>0</v>
      </c>
      <c r="W192" s="463">
        <f t="shared" si="36"/>
        <v>0</v>
      </c>
      <c r="X192" s="463">
        <f t="shared" si="36"/>
        <v>0</v>
      </c>
      <c r="Y192" s="463">
        <f t="shared" si="36"/>
        <v>0</v>
      </c>
      <c r="Z192" s="463">
        <f t="shared" si="36"/>
        <v>0</v>
      </c>
      <c r="AA192" s="463">
        <f t="shared" si="36"/>
        <v>0</v>
      </c>
      <c r="AB192" s="463">
        <f t="shared" si="36"/>
        <v>0</v>
      </c>
      <c r="AC192" s="463">
        <f t="shared" si="37"/>
        <v>0</v>
      </c>
      <c r="AD192" s="463">
        <f t="shared" si="37"/>
        <v>0</v>
      </c>
      <c r="AE192" s="463">
        <f t="shared" si="37"/>
        <v>0</v>
      </c>
      <c r="AF192" s="621">
        <f t="shared" si="37"/>
        <v>0</v>
      </c>
      <c r="AG192" s="573"/>
      <c r="AH192" s="464"/>
      <c r="AI192" s="464"/>
      <c r="AJ192" s="464"/>
      <c r="AK192" s="464"/>
      <c r="AL192" s="465"/>
      <c r="AM192" s="463"/>
      <c r="AN192" s="464"/>
      <c r="AO192" s="464"/>
      <c r="AP192" s="464"/>
      <c r="AQ192" s="464"/>
      <c r="AR192" s="465"/>
      <c r="AS192" s="463"/>
      <c r="AT192" s="464"/>
      <c r="AU192" s="464"/>
      <c r="AV192" s="464"/>
      <c r="AW192" s="464"/>
      <c r="AX192" s="465"/>
      <c r="AY192" s="463"/>
      <c r="AZ192" s="464"/>
      <c r="BA192" s="464"/>
      <c r="BB192" s="464"/>
      <c r="BC192" s="464"/>
      <c r="BD192" s="465"/>
      <c r="BE192" s="463"/>
      <c r="BF192" s="464"/>
      <c r="BG192" s="464"/>
      <c r="BH192" s="464">
        <f>+IF($I192=BH$10,IF($L192=BH$11,#REF!,0),0)</f>
        <v>0</v>
      </c>
      <c r="BI192" s="464">
        <f>+IF($I192=BI$10,IF($L192=BI$11,#REF!,0),0)</f>
        <v>0</v>
      </c>
      <c r="BJ192" s="466">
        <f>+IF($I192=BJ$10,IF($L192=BJ$11,#REF!,0),0)</f>
        <v>0</v>
      </c>
    </row>
    <row r="193" spans="5:62" s="467" customFormat="1" ht="16.5" hidden="1" customHeight="1">
      <c r="E193" s="454" t="s">
        <v>1217</v>
      </c>
      <c r="F193" s="455"/>
      <c r="G193" s="456"/>
      <c r="H193" s="457" t="str">
        <f t="shared" si="35"/>
        <v>-</v>
      </c>
      <c r="I193" s="458" t="s">
        <v>1194</v>
      </c>
      <c r="J193" s="566"/>
      <c r="K193" s="571">
        <v>250</v>
      </c>
      <c r="L193" s="460" t="s">
        <v>1188</v>
      </c>
      <c r="M193" s="463">
        <f t="shared" si="36"/>
        <v>0</v>
      </c>
      <c r="N193" s="463">
        <f t="shared" si="36"/>
        <v>0</v>
      </c>
      <c r="O193" s="463">
        <f t="shared" si="36"/>
        <v>0</v>
      </c>
      <c r="P193" s="463">
        <f t="shared" si="36"/>
        <v>1</v>
      </c>
      <c r="Q193" s="463">
        <f t="shared" si="36"/>
        <v>0</v>
      </c>
      <c r="R193" s="463">
        <f t="shared" si="36"/>
        <v>0</v>
      </c>
      <c r="S193" s="463">
        <f t="shared" si="36"/>
        <v>0</v>
      </c>
      <c r="T193" s="463">
        <f t="shared" si="36"/>
        <v>0</v>
      </c>
      <c r="U193" s="463">
        <f t="shared" si="36"/>
        <v>0</v>
      </c>
      <c r="V193" s="463">
        <f t="shared" si="36"/>
        <v>0</v>
      </c>
      <c r="W193" s="463">
        <f t="shared" si="36"/>
        <v>0</v>
      </c>
      <c r="X193" s="463">
        <f t="shared" si="37"/>
        <v>0</v>
      </c>
      <c r="Y193" s="463">
        <f t="shared" si="37"/>
        <v>0</v>
      </c>
      <c r="Z193" s="463">
        <f t="shared" si="37"/>
        <v>0</v>
      </c>
      <c r="AA193" s="463">
        <f t="shared" si="37"/>
        <v>0</v>
      </c>
      <c r="AB193" s="463">
        <f t="shared" si="37"/>
        <v>0</v>
      </c>
      <c r="AC193" s="463">
        <f t="shared" si="37"/>
        <v>0</v>
      </c>
      <c r="AD193" s="463">
        <f t="shared" si="37"/>
        <v>0</v>
      </c>
      <c r="AE193" s="463">
        <f t="shared" si="37"/>
        <v>0</v>
      </c>
      <c r="AF193" s="621">
        <f t="shared" si="37"/>
        <v>0</v>
      </c>
      <c r="AG193" s="573"/>
      <c r="AH193" s="464"/>
      <c r="AI193" s="464"/>
      <c r="AJ193" s="464"/>
      <c r="AK193" s="464"/>
      <c r="AL193" s="465">
        <f>+IF($I193=AL$10,IF($L193=AL$11,#REF!,0),0)</f>
        <v>0</v>
      </c>
      <c r="AM193" s="463">
        <f>+IF($I193=AM$10,IF($L193=AM$11,#REF!,0),0)</f>
        <v>0</v>
      </c>
      <c r="AN193" s="464">
        <f>+IF($I193=AN$10,IF($L193=AN$11,#REF!,0),0)</f>
        <v>0</v>
      </c>
      <c r="AO193" s="464">
        <f>+IF($I193=AO$10,IF($L193=AO$11,#REF!,0),0)</f>
        <v>0</v>
      </c>
      <c r="AP193" s="464">
        <f>+IF($I193=AP$10,IF($L193=AP$11,#REF!,0),0)</f>
        <v>0</v>
      </c>
      <c r="AQ193" s="464">
        <f>+IF($I193=AQ$10,IF($L193=AQ$11,#REF!,0),0)</f>
        <v>0</v>
      </c>
      <c r="AR193" s="465">
        <f>+IF($I193=AR$10,IF($L193=AR$11,#REF!,0),0)</f>
        <v>0</v>
      </c>
      <c r="AS193" s="463">
        <f>+IF($I193=AS$10,IF($L193=AS$11,#REF!,0),0)</f>
        <v>0</v>
      </c>
      <c r="AT193" s="464">
        <f>+IF($I193=AT$10,IF($L193=AT$11,#REF!,0),0)</f>
        <v>0</v>
      </c>
      <c r="AU193" s="464">
        <f>+IF($I193=AU$10,IF($L193=AU$11,#REF!,0),0)</f>
        <v>0</v>
      </c>
      <c r="AV193" s="464">
        <f>+IF($I193=AV$10,IF($L193=AV$11,#REF!,0),0)</f>
        <v>0</v>
      </c>
      <c r="AW193" s="464">
        <f>+IF($I193=AW$10,IF($L193=AW$11,#REF!,0),0)</f>
        <v>0</v>
      </c>
      <c r="AX193" s="465">
        <f>+IF($I193=AX$10,IF($L193=AX$11,#REF!,0),0)</f>
        <v>0</v>
      </c>
      <c r="AY193" s="463">
        <f>+IF($I193=AY$10,IF($L193=AY$11,#REF!,0),0)</f>
        <v>0</v>
      </c>
      <c r="AZ193" s="464">
        <f>+IF($I193=AZ$10,IF($L193=AZ$11,#REF!,0),0)</f>
        <v>0</v>
      </c>
      <c r="BA193" s="464">
        <f>+IF($I193=BA$10,IF($L193=BA$11,#REF!,0),0)</f>
        <v>0</v>
      </c>
      <c r="BB193" s="464">
        <f>+IF($I193=BB$10,IF($L193=BB$11,#REF!,0),0)</f>
        <v>0</v>
      </c>
      <c r="BC193" s="464">
        <f>+IF($I193=BC$10,IF($L193=BC$11,#REF!,0),0)</f>
        <v>0</v>
      </c>
      <c r="BD193" s="465">
        <f>+IF($I193=BD$10,IF($L193=BD$11,#REF!,0),0)</f>
        <v>0</v>
      </c>
      <c r="BE193" s="463">
        <f>+IF($I193=BE$10,IF($L193=BE$11,#REF!,0),0)</f>
        <v>0</v>
      </c>
      <c r="BF193" s="464">
        <f>+IF($I193=BF$10,IF($L193=BF$11,#REF!,0),0)</f>
        <v>0</v>
      </c>
      <c r="BG193" s="464">
        <f>+IF($I193=BG$10,IF($L193=BG$11,#REF!,0),0)</f>
        <v>0</v>
      </c>
      <c r="BH193" s="464">
        <f>+IF($I193=BH$10,IF($L193=BH$11,#REF!,0),0)</f>
        <v>0</v>
      </c>
      <c r="BI193" s="464">
        <f>+IF($I193=BI$10,IF($L193=BI$11,#REF!,0),0)</f>
        <v>0</v>
      </c>
      <c r="BJ193" s="466">
        <f>+IF($I193=BJ$10,IF($L193=BJ$11,#REF!,0),0)</f>
        <v>0</v>
      </c>
    </row>
    <row r="194" spans="5:62" s="467" customFormat="1" ht="16.5" hidden="1" customHeight="1">
      <c r="E194" s="454" t="s">
        <v>1217</v>
      </c>
      <c r="F194" s="455"/>
      <c r="G194" s="456"/>
      <c r="H194" s="457" t="str">
        <f t="shared" si="35"/>
        <v>-</v>
      </c>
      <c r="I194" s="458" t="s">
        <v>1194</v>
      </c>
      <c r="J194" s="566"/>
      <c r="K194" s="571">
        <v>100</v>
      </c>
      <c r="L194" s="460" t="s">
        <v>1188</v>
      </c>
      <c r="M194" s="463">
        <f t="shared" si="36"/>
        <v>1</v>
      </c>
      <c r="N194" s="463">
        <f t="shared" si="36"/>
        <v>0</v>
      </c>
      <c r="O194" s="463">
        <f t="shared" si="36"/>
        <v>0</v>
      </c>
      <c r="P194" s="463">
        <f t="shared" si="36"/>
        <v>0</v>
      </c>
      <c r="Q194" s="463">
        <f t="shared" si="36"/>
        <v>0</v>
      </c>
      <c r="R194" s="463">
        <f t="shared" si="36"/>
        <v>0</v>
      </c>
      <c r="S194" s="463">
        <f t="shared" si="36"/>
        <v>0</v>
      </c>
      <c r="T194" s="463">
        <f t="shared" si="36"/>
        <v>0</v>
      </c>
      <c r="U194" s="463">
        <f t="shared" si="36"/>
        <v>0</v>
      </c>
      <c r="V194" s="463">
        <f t="shared" si="36"/>
        <v>0</v>
      </c>
      <c r="W194" s="463">
        <f t="shared" si="36"/>
        <v>0</v>
      </c>
      <c r="X194" s="463">
        <f t="shared" si="37"/>
        <v>0</v>
      </c>
      <c r="Y194" s="463">
        <f t="shared" si="37"/>
        <v>0</v>
      </c>
      <c r="Z194" s="463">
        <f t="shared" si="37"/>
        <v>0</v>
      </c>
      <c r="AA194" s="463">
        <f t="shared" si="37"/>
        <v>0</v>
      </c>
      <c r="AB194" s="463">
        <f t="shared" si="37"/>
        <v>0</v>
      </c>
      <c r="AC194" s="463">
        <f t="shared" si="37"/>
        <v>0</v>
      </c>
      <c r="AD194" s="463">
        <f t="shared" si="37"/>
        <v>0</v>
      </c>
      <c r="AE194" s="463">
        <f t="shared" si="37"/>
        <v>0</v>
      </c>
      <c r="AF194" s="621">
        <f t="shared" si="37"/>
        <v>0</v>
      </c>
      <c r="AG194" s="573"/>
      <c r="AH194" s="464"/>
      <c r="AI194" s="464"/>
      <c r="AJ194" s="464"/>
      <c r="AK194" s="464"/>
      <c r="AL194" s="465">
        <f>+IF($I194=AL$10,IF($L194=AL$11,#REF!,0),0)</f>
        <v>0</v>
      </c>
      <c r="AM194" s="463">
        <f>+IF($I194=AM$10,IF($L194=AM$11,#REF!,0),0)</f>
        <v>0</v>
      </c>
      <c r="AN194" s="464">
        <f>+IF($I194=AN$10,IF($L194=AN$11,#REF!,0),0)</f>
        <v>0</v>
      </c>
      <c r="AO194" s="464">
        <f>+IF($I194=AO$10,IF($L194=AO$11,#REF!,0),0)</f>
        <v>0</v>
      </c>
      <c r="AP194" s="464">
        <f>+IF($I194=AP$10,IF($L194=AP$11,#REF!,0),0)</f>
        <v>0</v>
      </c>
      <c r="AQ194" s="464">
        <f>+IF($I194=AQ$10,IF($L194=AQ$11,#REF!,0),0)</f>
        <v>0</v>
      </c>
      <c r="AR194" s="465">
        <f>+IF($I194=AR$10,IF($L194=AR$11,#REF!,0),0)</f>
        <v>0</v>
      </c>
      <c r="AS194" s="463">
        <f>+IF($I194=AS$10,IF($L194=AS$11,#REF!,0),0)</f>
        <v>0</v>
      </c>
      <c r="AT194" s="464">
        <f>+IF($I194=AT$10,IF($L194=AT$11,#REF!,0),0)</f>
        <v>0</v>
      </c>
      <c r="AU194" s="464">
        <f>+IF($I194=AU$10,IF($L194=AU$11,#REF!,0),0)</f>
        <v>0</v>
      </c>
      <c r="AV194" s="464">
        <f>+IF($I194=AV$10,IF($L194=AV$11,#REF!,0),0)</f>
        <v>0</v>
      </c>
      <c r="AW194" s="464">
        <f>+IF($I194=AW$10,IF($L194=AW$11,#REF!,0),0)</f>
        <v>0</v>
      </c>
      <c r="AX194" s="465">
        <f>+IF($I194=AX$10,IF($L194=AX$11,#REF!,0),0)</f>
        <v>0</v>
      </c>
      <c r="AY194" s="463">
        <f>+IF($I194=AY$10,IF($L194=AY$11,#REF!,0),0)</f>
        <v>0</v>
      </c>
      <c r="AZ194" s="464">
        <f>+IF($I194=AZ$10,IF($L194=AZ$11,#REF!,0),0)</f>
        <v>0</v>
      </c>
      <c r="BA194" s="464">
        <f>+IF($I194=BA$10,IF($L194=BA$11,#REF!,0),0)</f>
        <v>0</v>
      </c>
      <c r="BB194" s="464">
        <f>+IF($I194=BB$10,IF($L194=BB$11,#REF!,0),0)</f>
        <v>0</v>
      </c>
      <c r="BC194" s="464">
        <f>+IF($I194=BC$10,IF($L194=BC$11,#REF!,0),0)</f>
        <v>0</v>
      </c>
      <c r="BD194" s="465">
        <f>+IF($I194=BD$10,IF($L194=BD$11,#REF!,0),0)</f>
        <v>0</v>
      </c>
      <c r="BE194" s="463">
        <f>+IF($I194=BE$10,IF($L194=BE$11,#REF!,0),0)</f>
        <v>0</v>
      </c>
      <c r="BF194" s="464">
        <f>+IF($I194=BF$10,IF($L194=BF$11,#REF!,0),0)</f>
        <v>0</v>
      </c>
      <c r="BG194" s="464">
        <f>+IF($I194=BG$10,IF($L194=BG$11,#REF!,0),0)</f>
        <v>0</v>
      </c>
      <c r="BH194" s="464">
        <f>+IF($I194=BH$10,IF($L194=BH$11,#REF!,0),0)</f>
        <v>0</v>
      </c>
      <c r="BI194" s="464">
        <f>+IF($I194=BI$10,IF($L194=BI$11,#REF!,0),0)</f>
        <v>0</v>
      </c>
      <c r="BJ194" s="466">
        <f>+IF($I194=BJ$10,IF($L194=BJ$11,#REF!,0),0)</f>
        <v>0</v>
      </c>
    </row>
    <row r="195" spans="5:62" s="467" customFormat="1" ht="16.5" hidden="1" customHeight="1">
      <c r="E195" s="454" t="s">
        <v>1217</v>
      </c>
      <c r="F195" s="455"/>
      <c r="G195" s="456"/>
      <c r="H195" s="457" t="str">
        <f t="shared" si="35"/>
        <v>-</v>
      </c>
      <c r="I195" s="458" t="s">
        <v>1193</v>
      </c>
      <c r="J195" s="566"/>
      <c r="K195" s="571">
        <v>100</v>
      </c>
      <c r="L195" s="460" t="s">
        <v>1188</v>
      </c>
      <c r="M195" s="463">
        <f t="shared" si="36"/>
        <v>1</v>
      </c>
      <c r="N195" s="463">
        <f t="shared" si="36"/>
        <v>0</v>
      </c>
      <c r="O195" s="463">
        <f t="shared" si="36"/>
        <v>0</v>
      </c>
      <c r="P195" s="463">
        <f t="shared" si="36"/>
        <v>0</v>
      </c>
      <c r="Q195" s="463">
        <f t="shared" si="36"/>
        <v>0</v>
      </c>
      <c r="R195" s="463">
        <f t="shared" si="36"/>
        <v>0</v>
      </c>
      <c r="S195" s="463">
        <f t="shared" si="36"/>
        <v>0</v>
      </c>
      <c r="T195" s="463">
        <f t="shared" si="36"/>
        <v>0</v>
      </c>
      <c r="U195" s="463">
        <f t="shared" si="36"/>
        <v>0</v>
      </c>
      <c r="V195" s="463">
        <f t="shared" si="36"/>
        <v>0</v>
      </c>
      <c r="W195" s="463">
        <f t="shared" si="36"/>
        <v>0</v>
      </c>
      <c r="X195" s="463">
        <f t="shared" si="37"/>
        <v>0</v>
      </c>
      <c r="Y195" s="463">
        <f t="shared" si="37"/>
        <v>0</v>
      </c>
      <c r="Z195" s="463">
        <f t="shared" si="37"/>
        <v>0</v>
      </c>
      <c r="AA195" s="463">
        <f t="shared" si="37"/>
        <v>0</v>
      </c>
      <c r="AB195" s="463">
        <f t="shared" si="37"/>
        <v>0</v>
      </c>
      <c r="AC195" s="463">
        <f t="shared" si="37"/>
        <v>0</v>
      </c>
      <c r="AD195" s="463">
        <f t="shared" si="37"/>
        <v>0</v>
      </c>
      <c r="AE195" s="463">
        <f t="shared" si="37"/>
        <v>0</v>
      </c>
      <c r="AF195" s="621">
        <f t="shared" si="37"/>
        <v>0</v>
      </c>
      <c r="AG195" s="573"/>
      <c r="AH195" s="464"/>
      <c r="AI195" s="464"/>
      <c r="AJ195" s="464"/>
      <c r="AK195" s="464"/>
      <c r="AL195" s="465">
        <f>+IF($I195=AL$10,IF($L195=AL$11,#REF!,0),0)</f>
        <v>0</v>
      </c>
      <c r="AM195" s="463">
        <f>+IF($I195=AM$10,IF($L195=AM$11,#REF!,0),0)</f>
        <v>0</v>
      </c>
      <c r="AN195" s="464">
        <f>+IF($I195=AN$10,IF($L195=AN$11,#REF!,0),0)</f>
        <v>0</v>
      </c>
      <c r="AO195" s="464">
        <f>+IF($I195=AO$10,IF($L195=AO$11,#REF!,0),0)</f>
        <v>0</v>
      </c>
      <c r="AP195" s="464">
        <f>+IF($I195=AP$10,IF($L195=AP$11,#REF!,0),0)</f>
        <v>0</v>
      </c>
      <c r="AQ195" s="464">
        <f>+IF($I195=AQ$10,IF($L195=AQ$11,#REF!,0),0)</f>
        <v>0</v>
      </c>
      <c r="AR195" s="465">
        <f>+IF($I195=AR$10,IF($L195=AR$11,#REF!,0),0)</f>
        <v>0</v>
      </c>
      <c r="AS195" s="463">
        <f>+IF($I195=AS$10,IF($L195=AS$11,#REF!,0),0)</f>
        <v>0</v>
      </c>
      <c r="AT195" s="464">
        <f>+IF($I195=AT$10,IF($L195=AT$11,#REF!,0),0)</f>
        <v>0</v>
      </c>
      <c r="AU195" s="464">
        <f>+IF($I195=AU$10,IF($L195=AU$11,#REF!,0),0)</f>
        <v>0</v>
      </c>
      <c r="AV195" s="464">
        <f>+IF($I195=AV$10,IF($L195=AV$11,#REF!,0),0)</f>
        <v>0</v>
      </c>
      <c r="AW195" s="464">
        <f>+IF($I195=AW$10,IF($L195=AW$11,#REF!,0),0)</f>
        <v>0</v>
      </c>
      <c r="AX195" s="465">
        <f>+IF($I195=AX$10,IF($L195=AX$11,#REF!,0),0)</f>
        <v>0</v>
      </c>
      <c r="AY195" s="463">
        <f>+IF($I195=AY$10,IF($L195=AY$11,#REF!,0),0)</f>
        <v>0</v>
      </c>
      <c r="AZ195" s="464">
        <f>+IF($I195=AZ$10,IF($L195=AZ$11,#REF!,0),0)</f>
        <v>0</v>
      </c>
      <c r="BA195" s="464">
        <f>+IF($I195=BA$10,IF($L195=BA$11,#REF!,0),0)</f>
        <v>0</v>
      </c>
      <c r="BB195" s="464">
        <f>+IF($I195=BB$10,IF($L195=BB$11,#REF!,0),0)</f>
        <v>0</v>
      </c>
      <c r="BC195" s="464">
        <f>+IF($I195=BC$10,IF($L195=BC$11,#REF!,0),0)</f>
        <v>0</v>
      </c>
      <c r="BD195" s="465">
        <f>+IF($I195=BD$10,IF($L195=BD$11,#REF!,0),0)</f>
        <v>0</v>
      </c>
      <c r="BE195" s="463">
        <f>+IF($I195=BE$10,IF($L195=BE$11,#REF!,0),0)</f>
        <v>0</v>
      </c>
      <c r="BF195" s="464">
        <f>+IF($I195=BF$10,IF($L195=BF$11,#REF!,0),0)</f>
        <v>0</v>
      </c>
      <c r="BG195" s="464">
        <f>+IF($I195=BG$10,IF($L195=BG$11,#REF!,0),0)</f>
        <v>0</v>
      </c>
      <c r="BH195" s="464">
        <f>+IF($I195=BH$10,IF($L195=BH$11,#REF!,0),0)</f>
        <v>0</v>
      </c>
      <c r="BI195" s="464">
        <f>+IF($I195=BI$10,IF($L195=BI$11,#REF!,0),0)</f>
        <v>0</v>
      </c>
      <c r="BJ195" s="466">
        <f>+IF($I195=BJ$10,IF($L195=BJ$11,#REF!,0),0)</f>
        <v>0</v>
      </c>
    </row>
    <row r="196" spans="5:62" s="467" customFormat="1" ht="16.5" hidden="1" customHeight="1">
      <c r="E196" s="454" t="s">
        <v>1217</v>
      </c>
      <c r="F196" s="455"/>
      <c r="G196" s="456"/>
      <c r="H196" s="457" t="str">
        <f t="shared" si="35"/>
        <v>-</v>
      </c>
      <c r="I196" s="458" t="s">
        <v>1194</v>
      </c>
      <c r="J196" s="566"/>
      <c r="K196" s="571">
        <v>200</v>
      </c>
      <c r="L196" s="460" t="s">
        <v>1188</v>
      </c>
      <c r="M196" s="463">
        <f t="shared" si="36"/>
        <v>0</v>
      </c>
      <c r="N196" s="463">
        <f t="shared" si="36"/>
        <v>0</v>
      </c>
      <c r="O196" s="463">
        <f t="shared" si="36"/>
        <v>1</v>
      </c>
      <c r="P196" s="463">
        <f t="shared" si="36"/>
        <v>0</v>
      </c>
      <c r="Q196" s="463">
        <f t="shared" si="36"/>
        <v>0</v>
      </c>
      <c r="R196" s="463">
        <f t="shared" si="36"/>
        <v>0</v>
      </c>
      <c r="S196" s="463">
        <f t="shared" si="36"/>
        <v>0</v>
      </c>
      <c r="T196" s="463">
        <f t="shared" si="36"/>
        <v>0</v>
      </c>
      <c r="U196" s="463">
        <f t="shared" si="36"/>
        <v>0</v>
      </c>
      <c r="V196" s="463">
        <f t="shared" si="36"/>
        <v>0</v>
      </c>
      <c r="W196" s="463">
        <f t="shared" si="36"/>
        <v>0</v>
      </c>
      <c r="X196" s="463">
        <f t="shared" si="37"/>
        <v>0</v>
      </c>
      <c r="Y196" s="463">
        <f t="shared" si="37"/>
        <v>0</v>
      </c>
      <c r="Z196" s="463">
        <f t="shared" si="37"/>
        <v>0</v>
      </c>
      <c r="AA196" s="463">
        <f t="shared" si="37"/>
        <v>0</v>
      </c>
      <c r="AB196" s="463">
        <f t="shared" si="37"/>
        <v>0</v>
      </c>
      <c r="AC196" s="463">
        <f t="shared" si="37"/>
        <v>0</v>
      </c>
      <c r="AD196" s="463">
        <f t="shared" si="37"/>
        <v>0</v>
      </c>
      <c r="AE196" s="463">
        <f t="shared" si="37"/>
        <v>0</v>
      </c>
      <c r="AF196" s="621">
        <f t="shared" si="37"/>
        <v>0</v>
      </c>
      <c r="AG196" s="573"/>
      <c r="AH196" s="464"/>
      <c r="AI196" s="464"/>
      <c r="AJ196" s="464"/>
      <c r="AK196" s="464"/>
      <c r="AL196" s="465">
        <f>+IF($I196=AL$10,IF($L196=AL$11,#REF!,0),0)</f>
        <v>0</v>
      </c>
      <c r="AM196" s="463">
        <f>+IF($I196=AM$10,IF($L196=AM$11,#REF!,0),0)</f>
        <v>0</v>
      </c>
      <c r="AN196" s="464">
        <f>+IF($I196=AN$10,IF($L196=AN$11,#REF!,0),0)</f>
        <v>0</v>
      </c>
      <c r="AO196" s="464">
        <f>+IF($I196=AO$10,IF($L196=AO$11,#REF!,0),0)</f>
        <v>0</v>
      </c>
      <c r="AP196" s="464">
        <f>+IF($I196=AP$10,IF($L196=AP$11,#REF!,0),0)</f>
        <v>0</v>
      </c>
      <c r="AQ196" s="464">
        <f>+IF($I196=AQ$10,IF($L196=AQ$11,#REF!,0),0)</f>
        <v>0</v>
      </c>
      <c r="AR196" s="465">
        <f>+IF($I196=AR$10,IF($L196=AR$11,#REF!,0),0)</f>
        <v>0</v>
      </c>
      <c r="AS196" s="463">
        <f>+IF($I196=AS$10,IF($L196=AS$11,#REF!,0),0)</f>
        <v>0</v>
      </c>
      <c r="AT196" s="464">
        <f>+IF($I196=AT$10,IF($L196=AT$11,#REF!,0),0)</f>
        <v>0</v>
      </c>
      <c r="AU196" s="464">
        <f>+IF($I196=AU$10,IF($L196=AU$11,#REF!,0),0)</f>
        <v>0</v>
      </c>
      <c r="AV196" s="464">
        <f>+IF($I196=AV$10,IF($L196=AV$11,#REF!,0),0)</f>
        <v>0</v>
      </c>
      <c r="AW196" s="464">
        <f>+IF($I196=AW$10,IF($L196=AW$11,#REF!,0),0)</f>
        <v>0</v>
      </c>
      <c r="AX196" s="465">
        <f>+IF($I196=AX$10,IF($L196=AX$11,#REF!,0),0)</f>
        <v>0</v>
      </c>
      <c r="AY196" s="463">
        <f>+IF($I196=AY$10,IF($L196=AY$11,#REF!,0),0)</f>
        <v>0</v>
      </c>
      <c r="AZ196" s="464">
        <f>+IF($I196=AZ$10,IF($L196=AZ$11,#REF!,0),0)</f>
        <v>0</v>
      </c>
      <c r="BA196" s="464">
        <f>+IF($I196=BA$10,IF($L196=BA$11,#REF!,0),0)</f>
        <v>0</v>
      </c>
      <c r="BB196" s="464">
        <f>+IF($I196=BB$10,IF($L196=BB$11,#REF!,0),0)</f>
        <v>0</v>
      </c>
      <c r="BC196" s="464">
        <f>+IF($I196=BC$10,IF($L196=BC$11,#REF!,0),0)</f>
        <v>0</v>
      </c>
      <c r="BD196" s="465">
        <f>+IF($I196=BD$10,IF($L196=BD$11,#REF!,0),0)</f>
        <v>0</v>
      </c>
      <c r="BE196" s="463">
        <f>+IF($I196=BE$10,IF($L196=BE$11,#REF!,0),0)</f>
        <v>0</v>
      </c>
      <c r="BF196" s="464">
        <f>+IF($I196=BF$10,IF($L196=BF$11,#REF!,0),0)</f>
        <v>0</v>
      </c>
      <c r="BG196" s="464">
        <f>+IF($I196=BG$10,IF($L196=BG$11,#REF!,0),0)</f>
        <v>0</v>
      </c>
      <c r="BH196" s="464">
        <f>+IF($I196=BH$10,IF($L196=BH$11,#REF!,0),0)</f>
        <v>0</v>
      </c>
      <c r="BI196" s="464">
        <f>+IF($I196=BI$10,IF($L196=BI$11,#REF!,0),0)</f>
        <v>0</v>
      </c>
      <c r="BJ196" s="466">
        <f>+IF($I196=BJ$10,IF($L196=BJ$11,#REF!,0),0)</f>
        <v>0</v>
      </c>
    </row>
    <row r="197" spans="5:62" s="467" customFormat="1" ht="16.5" hidden="1" customHeight="1">
      <c r="E197" s="454" t="s">
        <v>1217</v>
      </c>
      <c r="F197" s="455"/>
      <c r="G197" s="456"/>
      <c r="H197" s="457" t="str">
        <f t="shared" si="35"/>
        <v>-</v>
      </c>
      <c r="I197" s="458" t="s">
        <v>1194</v>
      </c>
      <c r="J197" s="566"/>
      <c r="K197" s="571">
        <v>300</v>
      </c>
      <c r="L197" s="460" t="s">
        <v>1188</v>
      </c>
      <c r="M197" s="463">
        <f t="shared" si="36"/>
        <v>0</v>
      </c>
      <c r="N197" s="463">
        <f t="shared" si="36"/>
        <v>0</v>
      </c>
      <c r="O197" s="463">
        <f t="shared" si="36"/>
        <v>0</v>
      </c>
      <c r="P197" s="463">
        <f t="shared" si="36"/>
        <v>0</v>
      </c>
      <c r="Q197" s="463">
        <f t="shared" si="36"/>
        <v>1</v>
      </c>
      <c r="R197" s="463">
        <f t="shared" si="36"/>
        <v>0</v>
      </c>
      <c r="S197" s="463">
        <f t="shared" si="36"/>
        <v>0</v>
      </c>
      <c r="T197" s="463">
        <f t="shared" si="36"/>
        <v>0</v>
      </c>
      <c r="U197" s="463">
        <f t="shared" si="36"/>
        <v>0</v>
      </c>
      <c r="V197" s="463">
        <f t="shared" si="36"/>
        <v>0</v>
      </c>
      <c r="W197" s="463">
        <f t="shared" si="36"/>
        <v>0</v>
      </c>
      <c r="X197" s="463">
        <f t="shared" si="37"/>
        <v>0</v>
      </c>
      <c r="Y197" s="463">
        <f t="shared" si="37"/>
        <v>0</v>
      </c>
      <c r="Z197" s="463">
        <f t="shared" si="37"/>
        <v>0</v>
      </c>
      <c r="AA197" s="463">
        <f t="shared" si="37"/>
        <v>0</v>
      </c>
      <c r="AB197" s="463">
        <f t="shared" si="37"/>
        <v>0</v>
      </c>
      <c r="AC197" s="463">
        <f t="shared" si="37"/>
        <v>0</v>
      </c>
      <c r="AD197" s="463">
        <f t="shared" si="37"/>
        <v>0</v>
      </c>
      <c r="AE197" s="463">
        <f t="shared" si="37"/>
        <v>0</v>
      </c>
      <c r="AF197" s="621">
        <f t="shared" si="37"/>
        <v>0</v>
      </c>
      <c r="AG197" s="573"/>
      <c r="AH197" s="464"/>
      <c r="AI197" s="464"/>
      <c r="AJ197" s="464"/>
      <c r="AK197" s="464"/>
      <c r="AL197" s="465">
        <f>+IF($I197=AL$10,IF($L197=AL$11,#REF!,0),0)</f>
        <v>0</v>
      </c>
      <c r="AM197" s="463">
        <f>+IF($I197=AM$10,IF($L197=AM$11,#REF!,0),0)</f>
        <v>0</v>
      </c>
      <c r="AN197" s="464">
        <f>+IF($I197=AN$10,IF($L197=AN$11,#REF!,0),0)</f>
        <v>0</v>
      </c>
      <c r="AO197" s="464">
        <f>+IF($I197=AO$10,IF($L197=AO$11,#REF!,0),0)</f>
        <v>0</v>
      </c>
      <c r="AP197" s="464">
        <f>+IF($I197=AP$10,IF($L197=AP$11,#REF!,0),0)</f>
        <v>0</v>
      </c>
      <c r="AQ197" s="464">
        <f>+IF($I197=AQ$10,IF($L197=AQ$11,#REF!,0),0)</f>
        <v>0</v>
      </c>
      <c r="AR197" s="465">
        <f>+IF($I197=AR$10,IF($L197=AR$11,#REF!,0),0)</f>
        <v>0</v>
      </c>
      <c r="AS197" s="463">
        <f>+IF($I197=AS$10,IF($L197=AS$11,#REF!,0),0)</f>
        <v>0</v>
      </c>
      <c r="AT197" s="464">
        <f>+IF($I197=AT$10,IF($L197=AT$11,#REF!,0),0)</f>
        <v>0</v>
      </c>
      <c r="AU197" s="464">
        <f>+IF($I197=AU$10,IF($L197=AU$11,#REF!,0),0)</f>
        <v>0</v>
      </c>
      <c r="AV197" s="464">
        <f>+IF($I197=AV$10,IF($L197=AV$11,#REF!,0),0)</f>
        <v>0</v>
      </c>
      <c r="AW197" s="464">
        <f>+IF($I197=AW$10,IF($L197=AW$11,#REF!,0),0)</f>
        <v>0</v>
      </c>
      <c r="AX197" s="465">
        <f>+IF($I197=AX$10,IF($L197=AX$11,#REF!,0),0)</f>
        <v>0</v>
      </c>
      <c r="AY197" s="463">
        <f>+IF($I197=AY$10,IF($L197=AY$11,#REF!,0),0)</f>
        <v>0</v>
      </c>
      <c r="AZ197" s="464">
        <f>+IF($I197=AZ$10,IF($L197=AZ$11,#REF!,0),0)</f>
        <v>0</v>
      </c>
      <c r="BA197" s="464">
        <f>+IF($I197=BA$10,IF($L197=BA$11,#REF!,0),0)</f>
        <v>0</v>
      </c>
      <c r="BB197" s="464">
        <f>+IF($I197=BB$10,IF($L197=BB$11,#REF!,0),0)</f>
        <v>0</v>
      </c>
      <c r="BC197" s="464">
        <f>+IF($I197=BC$10,IF($L197=BC$11,#REF!,0),0)</f>
        <v>0</v>
      </c>
      <c r="BD197" s="465">
        <f>+IF($I197=BD$10,IF($L197=BD$11,#REF!,0),0)</f>
        <v>0</v>
      </c>
      <c r="BE197" s="463">
        <f>+IF($I197=BE$10,IF($L197=BE$11,#REF!,0),0)</f>
        <v>0</v>
      </c>
      <c r="BF197" s="464">
        <f>+IF($I197=BF$10,IF($L197=BF$11,#REF!,0),0)</f>
        <v>0</v>
      </c>
      <c r="BG197" s="464">
        <f>+IF($I197=BG$10,IF($L197=BG$11,#REF!,0),0)</f>
        <v>0</v>
      </c>
      <c r="BH197" s="464">
        <f>+IF($I197=BH$10,IF($L197=BH$11,#REF!,0),0)</f>
        <v>0</v>
      </c>
      <c r="BI197" s="464">
        <f>+IF($I197=BI$10,IF($L197=BI$11,#REF!,0),0)</f>
        <v>0</v>
      </c>
      <c r="BJ197" s="466">
        <f>+IF($I197=BJ$10,IF($L197=BJ$11,#REF!,0),0)</f>
        <v>0</v>
      </c>
    </row>
    <row r="198" spans="5:62" s="467" customFormat="1" ht="16.5" hidden="1" customHeight="1">
      <c r="E198" s="454" t="s">
        <v>1217</v>
      </c>
      <c r="F198" s="455"/>
      <c r="G198" s="456"/>
      <c r="H198" s="457" t="str">
        <f t="shared" ref="H198:H217" si="38">+CONCATENATE(F198,"-",G198)</f>
        <v>-</v>
      </c>
      <c r="I198" s="458" t="s">
        <v>1193</v>
      </c>
      <c r="J198" s="566" t="s">
        <v>1192</v>
      </c>
      <c r="K198" s="571">
        <v>200</v>
      </c>
      <c r="L198" s="460" t="s">
        <v>1188</v>
      </c>
      <c r="M198" s="463">
        <f t="shared" si="36"/>
        <v>0</v>
      </c>
      <c r="N198" s="463">
        <f t="shared" si="36"/>
        <v>0</v>
      </c>
      <c r="O198" s="463">
        <f t="shared" si="36"/>
        <v>1</v>
      </c>
      <c r="P198" s="463">
        <f t="shared" si="36"/>
        <v>0</v>
      </c>
      <c r="Q198" s="463">
        <f t="shared" si="36"/>
        <v>0</v>
      </c>
      <c r="R198" s="463">
        <f t="shared" si="36"/>
        <v>0</v>
      </c>
      <c r="S198" s="463">
        <f t="shared" si="36"/>
        <v>0</v>
      </c>
      <c r="T198" s="463">
        <f t="shared" si="36"/>
        <v>0</v>
      </c>
      <c r="U198" s="463">
        <f t="shared" si="36"/>
        <v>0</v>
      </c>
      <c r="V198" s="463">
        <f t="shared" si="36"/>
        <v>0</v>
      </c>
      <c r="W198" s="463">
        <f t="shared" si="36"/>
        <v>0</v>
      </c>
      <c r="X198" s="463">
        <f t="shared" si="37"/>
        <v>0</v>
      </c>
      <c r="Y198" s="463">
        <f t="shared" si="37"/>
        <v>0</v>
      </c>
      <c r="Z198" s="463">
        <f t="shared" si="37"/>
        <v>0</v>
      </c>
      <c r="AA198" s="463">
        <f t="shared" si="37"/>
        <v>0</v>
      </c>
      <c r="AB198" s="463">
        <f t="shared" si="37"/>
        <v>0</v>
      </c>
      <c r="AC198" s="463">
        <f t="shared" si="37"/>
        <v>0</v>
      </c>
      <c r="AD198" s="463">
        <f t="shared" si="37"/>
        <v>0</v>
      </c>
      <c r="AE198" s="463">
        <f t="shared" si="37"/>
        <v>0</v>
      </c>
      <c r="AF198" s="621">
        <f t="shared" si="37"/>
        <v>0</v>
      </c>
      <c r="AG198" s="573"/>
      <c r="AH198" s="464"/>
      <c r="AI198" s="464"/>
      <c r="AJ198" s="464"/>
      <c r="AK198" s="464"/>
      <c r="AL198" s="465">
        <f>+IF($I198=AL$10,IF($L198=AL$11,#REF!,0),0)</f>
        <v>0</v>
      </c>
      <c r="AM198" s="463">
        <f>+IF($I198=AM$10,IF($L198=AM$11,#REF!,0),0)</f>
        <v>0</v>
      </c>
      <c r="AN198" s="464">
        <f>+IF($I198=AN$10,IF($L198=AN$11,#REF!,0),0)</f>
        <v>0</v>
      </c>
      <c r="AO198" s="464">
        <f>+IF($I198=AO$10,IF($L198=AO$11,#REF!,0),0)</f>
        <v>0</v>
      </c>
      <c r="AP198" s="464">
        <v>1</v>
      </c>
      <c r="AQ198" s="464">
        <f>+IF($I198=AQ$10,IF($L198=AQ$11,#REF!,0),0)</f>
        <v>0</v>
      </c>
      <c r="AR198" s="465">
        <f>+IF($I198=AR$10,IF($L198=AR$11,#REF!,0),0)</f>
        <v>0</v>
      </c>
      <c r="AS198" s="463">
        <f>+IF($I198=AS$10,IF($L198=AS$11,#REF!,0),0)</f>
        <v>0</v>
      </c>
      <c r="AT198" s="464">
        <f>+IF($I198=AT$10,IF($L198=AT$11,#REF!,0),0)</f>
        <v>0</v>
      </c>
      <c r="AU198" s="464">
        <f>+IF($I198=AU$10,IF($L198=AU$11,#REF!,0),0)</f>
        <v>0</v>
      </c>
      <c r="AV198" s="464">
        <f>+IF($I198=AV$10,IF($L198=AV$11,#REF!,0),0)</f>
        <v>0</v>
      </c>
      <c r="AW198" s="464">
        <f>+IF($I198=AW$10,IF($L198=AW$11,#REF!,0),0)</f>
        <v>0</v>
      </c>
      <c r="AX198" s="465">
        <f>+IF($I198=AX$10,IF($L198=AX$11,#REF!,0),0)</f>
        <v>0</v>
      </c>
      <c r="AY198" s="463">
        <f>+IF($I198=AY$10,IF($L198=AY$11,#REF!,0),0)</f>
        <v>0</v>
      </c>
      <c r="AZ198" s="464">
        <f>+IF($I198=AZ$10,IF($L198=AZ$11,#REF!,0),0)</f>
        <v>0</v>
      </c>
      <c r="BA198" s="464">
        <f>+IF($I198=BA$10,IF($L198=BA$11,#REF!,0),0)</f>
        <v>0</v>
      </c>
      <c r="BB198" s="464">
        <f>+IF($I198=BB$10,IF($L198=BB$11,#REF!,0),0)</f>
        <v>0</v>
      </c>
      <c r="BC198" s="464">
        <f>+IF($I198=BC$10,IF($L198=BC$11,#REF!,0),0)</f>
        <v>0</v>
      </c>
      <c r="BD198" s="465">
        <f>+IF($I198=BD$10,IF($L198=BD$11,#REF!,0),0)</f>
        <v>0</v>
      </c>
      <c r="BE198" s="463">
        <f>+IF($I198=BE$10,IF($L198=BE$11,#REF!,0),0)</f>
        <v>0</v>
      </c>
      <c r="BF198" s="464">
        <f>+IF($I198=BF$10,IF($L198=BF$11,#REF!,0),0)</f>
        <v>0</v>
      </c>
      <c r="BG198" s="464">
        <f>+IF($I198=BG$10,IF($L198=BG$11,#REF!,0),0)</f>
        <v>0</v>
      </c>
      <c r="BH198" s="464">
        <f>+IF($I198=BH$10,IF($L198=BH$11,#REF!,0),0)</f>
        <v>0</v>
      </c>
      <c r="BI198" s="464">
        <f>+IF($I198=BI$10,IF($L198=BI$11,#REF!,0),0)</f>
        <v>0</v>
      </c>
      <c r="BJ198" s="466">
        <f>+IF($I198=BJ$10,IF($L198=BJ$11,#REF!,0),0)</f>
        <v>0</v>
      </c>
    </row>
    <row r="199" spans="5:62" s="467" customFormat="1" ht="16.5" hidden="1" customHeight="1">
      <c r="E199" s="454" t="s">
        <v>1217</v>
      </c>
      <c r="F199" s="455"/>
      <c r="G199" s="456"/>
      <c r="H199" s="457" t="str">
        <f t="shared" si="38"/>
        <v>-</v>
      </c>
      <c r="I199" s="458" t="s">
        <v>1199</v>
      </c>
      <c r="J199" s="566"/>
      <c r="K199" s="571" t="s">
        <v>1181</v>
      </c>
      <c r="L199" s="460" t="s">
        <v>1190</v>
      </c>
      <c r="M199" s="463">
        <f t="shared" si="36"/>
        <v>0</v>
      </c>
      <c r="N199" s="463">
        <f t="shared" si="36"/>
        <v>0</v>
      </c>
      <c r="O199" s="463">
        <f t="shared" si="36"/>
        <v>0</v>
      </c>
      <c r="P199" s="463">
        <f t="shared" si="36"/>
        <v>0</v>
      </c>
      <c r="Q199" s="463">
        <f t="shared" si="36"/>
        <v>0</v>
      </c>
      <c r="R199" s="463">
        <f t="shared" si="36"/>
        <v>0</v>
      </c>
      <c r="S199" s="463">
        <f t="shared" si="36"/>
        <v>0</v>
      </c>
      <c r="T199" s="463">
        <f t="shared" si="36"/>
        <v>0</v>
      </c>
      <c r="U199" s="463">
        <f t="shared" si="36"/>
        <v>0</v>
      </c>
      <c r="V199" s="463">
        <f t="shared" si="36"/>
        <v>0</v>
      </c>
      <c r="W199" s="463">
        <f t="shared" si="36"/>
        <v>0</v>
      </c>
      <c r="X199" s="463">
        <f t="shared" si="37"/>
        <v>1</v>
      </c>
      <c r="Y199" s="463">
        <f t="shared" si="37"/>
        <v>0</v>
      </c>
      <c r="Z199" s="463">
        <f t="shared" si="37"/>
        <v>0</v>
      </c>
      <c r="AA199" s="463">
        <f t="shared" si="37"/>
        <v>0</v>
      </c>
      <c r="AB199" s="463">
        <f t="shared" si="37"/>
        <v>0</v>
      </c>
      <c r="AC199" s="463">
        <f t="shared" si="37"/>
        <v>0</v>
      </c>
      <c r="AD199" s="463">
        <f t="shared" si="37"/>
        <v>0</v>
      </c>
      <c r="AE199" s="463">
        <f t="shared" si="37"/>
        <v>0</v>
      </c>
      <c r="AF199" s="621">
        <f t="shared" si="37"/>
        <v>0</v>
      </c>
      <c r="AG199" s="573"/>
      <c r="AH199" s="464"/>
      <c r="AI199" s="464"/>
      <c r="AJ199" s="464"/>
      <c r="AK199" s="464"/>
      <c r="AL199" s="465">
        <f>+IF($I199=AL$10,IF($L199=AL$11,#REF!,0),0)</f>
        <v>0</v>
      </c>
      <c r="AM199" s="463">
        <f>+IF($I199=AM$10,IF($L199=AM$11,#REF!,0),0)</f>
        <v>0</v>
      </c>
      <c r="AN199" s="464">
        <f>+IF($I199=AN$10,IF($L199=AN$11,#REF!,0),0)</f>
        <v>0</v>
      </c>
      <c r="AO199" s="464">
        <f>+IF($I199=AO$10,IF($L199=AO$11,#REF!,0),0)</f>
        <v>0</v>
      </c>
      <c r="AP199" s="464">
        <f>+IF($I199=AP$10,IF($L199=AP$11,#REF!,0),0)</f>
        <v>0</v>
      </c>
      <c r="AQ199" s="464">
        <f>+IF($I199=AQ$10,IF($L199=AQ$11,#REF!,0),0)</f>
        <v>0</v>
      </c>
      <c r="AR199" s="465">
        <f>+IF($I199=AR$10,IF($L199=AR$11,#REF!,0),0)</f>
        <v>0</v>
      </c>
      <c r="AS199" s="463">
        <f>+IF($I199=AS$10,IF($L199=AS$11,#REF!,0),0)</f>
        <v>0</v>
      </c>
      <c r="AT199" s="464">
        <f>+IF($I199=AT$10,IF($L199=AT$11,#REF!,0),0)</f>
        <v>0</v>
      </c>
      <c r="AU199" s="464">
        <f>+IF($I199=AU$10,IF($L199=AU$11,#REF!,0),0)</f>
        <v>0</v>
      </c>
      <c r="AV199" s="464">
        <v>1</v>
      </c>
      <c r="AW199" s="464">
        <f>+IF($I199=AW$10,IF($L199=AW$11,#REF!,0),0)</f>
        <v>0</v>
      </c>
      <c r="AX199" s="465">
        <f>+IF($I199=AX$10,IF($L199=AX$11,#REF!,0),0)</f>
        <v>0</v>
      </c>
      <c r="AY199" s="463">
        <f>+IF($I199=AY$10,IF($L199=AY$11,#REF!,0),0)</f>
        <v>0</v>
      </c>
      <c r="AZ199" s="464">
        <f>+IF($I199=AZ$10,IF($L199=AZ$11,#REF!,0),0)</f>
        <v>0</v>
      </c>
      <c r="BA199" s="464">
        <f>+IF($I199=BA$10,IF($L199=BA$11,#REF!,0),0)</f>
        <v>0</v>
      </c>
      <c r="BB199" s="464">
        <f>+IF($I199=BB$10,IF($L199=BB$11,#REF!,0),0)</f>
        <v>0</v>
      </c>
      <c r="BC199" s="464">
        <f>+IF($I199=BC$10,IF($L199=BC$11,#REF!,0),0)</f>
        <v>0</v>
      </c>
      <c r="BD199" s="465">
        <f>+IF($I199=BD$10,IF($L199=BD$11,#REF!,0),0)</f>
        <v>0</v>
      </c>
      <c r="BE199" s="463">
        <f>+IF($I199=BE$10,IF($L199=BE$11,#REF!,0),0)</f>
        <v>0</v>
      </c>
      <c r="BF199" s="464">
        <f>+IF($I199=BF$10,IF($L199=BF$11,#REF!,0),0)</f>
        <v>0</v>
      </c>
      <c r="BG199" s="464">
        <f>+IF($I199=BG$10,IF($L199=BG$11,#REF!,0),0)</f>
        <v>0</v>
      </c>
      <c r="BH199" s="464">
        <f>+IF($I199=BH$10,IF($L199=BH$11,#REF!,0),0)</f>
        <v>0</v>
      </c>
      <c r="BI199" s="464">
        <f>+IF($I199=BI$10,IF($L199=BI$11,#REF!,0),0)</f>
        <v>0</v>
      </c>
      <c r="BJ199" s="466">
        <f>+IF($I199=BJ$10,IF($L199=BJ$11,#REF!,0),0)</f>
        <v>0</v>
      </c>
    </row>
    <row r="200" spans="5:62" s="467" customFormat="1" ht="16.5" hidden="1" customHeight="1">
      <c r="E200" s="454" t="s">
        <v>1217</v>
      </c>
      <c r="F200" s="455"/>
      <c r="G200" s="456"/>
      <c r="H200" s="457" t="str">
        <f t="shared" si="38"/>
        <v>-</v>
      </c>
      <c r="I200" s="458" t="s">
        <v>1193</v>
      </c>
      <c r="J200" s="566" t="s">
        <v>1192</v>
      </c>
      <c r="K200" s="571">
        <v>200</v>
      </c>
      <c r="L200" s="460" t="s">
        <v>1188</v>
      </c>
      <c r="M200" s="463">
        <f t="shared" si="36"/>
        <v>0</v>
      </c>
      <c r="N200" s="463">
        <f t="shared" si="36"/>
        <v>0</v>
      </c>
      <c r="O200" s="463">
        <f t="shared" si="36"/>
        <v>1</v>
      </c>
      <c r="P200" s="463">
        <f t="shared" si="36"/>
        <v>0</v>
      </c>
      <c r="Q200" s="463">
        <f t="shared" si="36"/>
        <v>0</v>
      </c>
      <c r="R200" s="463">
        <f t="shared" si="36"/>
        <v>0</v>
      </c>
      <c r="S200" s="463">
        <f t="shared" si="36"/>
        <v>0</v>
      </c>
      <c r="T200" s="463">
        <f t="shared" si="36"/>
        <v>0</v>
      </c>
      <c r="U200" s="463">
        <f t="shared" si="36"/>
        <v>0</v>
      </c>
      <c r="V200" s="463">
        <f t="shared" si="36"/>
        <v>0</v>
      </c>
      <c r="W200" s="463">
        <f t="shared" si="36"/>
        <v>0</v>
      </c>
      <c r="X200" s="463">
        <f t="shared" si="37"/>
        <v>0</v>
      </c>
      <c r="Y200" s="463">
        <f t="shared" si="37"/>
        <v>0</v>
      </c>
      <c r="Z200" s="463">
        <f t="shared" si="37"/>
        <v>0</v>
      </c>
      <c r="AA200" s="463">
        <f t="shared" si="37"/>
        <v>0</v>
      </c>
      <c r="AB200" s="463">
        <f t="shared" si="37"/>
        <v>0</v>
      </c>
      <c r="AC200" s="463">
        <f t="shared" si="37"/>
        <v>0</v>
      </c>
      <c r="AD200" s="463">
        <f t="shared" si="37"/>
        <v>0</v>
      </c>
      <c r="AE200" s="463">
        <f t="shared" si="37"/>
        <v>0</v>
      </c>
      <c r="AF200" s="621">
        <f t="shared" si="37"/>
        <v>0</v>
      </c>
      <c r="AG200" s="573"/>
      <c r="AH200" s="464"/>
      <c r="AI200" s="464"/>
      <c r="AJ200" s="464"/>
      <c r="AK200" s="464"/>
      <c r="AL200" s="465">
        <f>+IF($I200=AL$10,IF($L200=AL$11,#REF!,0),0)</f>
        <v>0</v>
      </c>
      <c r="AM200" s="463">
        <f>+IF($I200=AM$10,IF($L200=AM$11,#REF!,0),0)</f>
        <v>0</v>
      </c>
      <c r="AN200" s="464">
        <f>+IF($I200=AN$10,IF($L200=AN$11,#REF!,0),0)</f>
        <v>0</v>
      </c>
      <c r="AO200" s="464">
        <f>+IF($I200=AO$10,IF($L200=AO$11,#REF!,0),0)</f>
        <v>0</v>
      </c>
      <c r="AP200" s="464">
        <f>+IF($I200=AP$10,IF($L200=AP$11,#REF!,0),0)</f>
        <v>0</v>
      </c>
      <c r="AQ200" s="464">
        <f>+IF($I200=AQ$10,IF($L200=AQ$11,#REF!,0),0)</f>
        <v>0</v>
      </c>
      <c r="AR200" s="465">
        <f>+IF($I200=AR$10,IF($L200=AR$11,#REF!,0),0)</f>
        <v>0</v>
      </c>
      <c r="AS200" s="463">
        <f>+IF($I200=AS$10,IF($L200=AS$11,#REF!,0),0)</f>
        <v>0</v>
      </c>
      <c r="AT200" s="464">
        <f>+IF($I200=AT$10,IF($L200=AT$11,#REF!,0),0)</f>
        <v>0</v>
      </c>
      <c r="AU200" s="464">
        <f>+IF($I200=AU$10,IF($L200=AU$11,#REF!,0),0)</f>
        <v>0</v>
      </c>
      <c r="AV200" s="464">
        <f>+IF($I200=AV$10,IF($L200=AV$11,#REF!,0),0)</f>
        <v>0</v>
      </c>
      <c r="AW200" s="464">
        <f>+IF($I200=AW$10,IF($L200=AW$11,#REF!,0),0)</f>
        <v>0</v>
      </c>
      <c r="AX200" s="465">
        <f>+IF($I200=AX$10,IF($L200=AX$11,#REF!,0),0)</f>
        <v>0</v>
      </c>
      <c r="AY200" s="463">
        <v>1</v>
      </c>
      <c r="AZ200" s="464">
        <f>+IF($I200=AZ$10,IF($L200=AZ$11,#REF!,0),0)</f>
        <v>0</v>
      </c>
      <c r="BA200" s="464">
        <f>+IF($I200=BA$10,IF($L200=BA$11,#REF!,0),0)</f>
        <v>0</v>
      </c>
      <c r="BB200" s="464">
        <f>+IF($I200=BB$10,IF($L200=BB$11,#REF!,0),0)</f>
        <v>0</v>
      </c>
      <c r="BC200" s="464">
        <f>+IF($I200=BC$10,IF($L200=BC$11,#REF!,0),0)</f>
        <v>0</v>
      </c>
      <c r="BD200" s="465">
        <f>+IF($I200=BD$10,IF($L200=BD$11,#REF!,0),0)</f>
        <v>0</v>
      </c>
      <c r="BE200" s="463">
        <f>+IF($I200=BE$10,IF($L200=BE$11,#REF!,0),0)</f>
        <v>0</v>
      </c>
      <c r="BF200" s="464">
        <f>+IF($I200=BF$10,IF($L200=BF$11,#REF!,0),0)</f>
        <v>0</v>
      </c>
      <c r="BG200" s="464">
        <f>+IF($I200=BG$10,IF($L200=BG$11,#REF!,0),0)</f>
        <v>0</v>
      </c>
      <c r="BH200" s="464">
        <f>+IF($I200=BH$10,IF($L200=BH$11,#REF!,0),0)</f>
        <v>0</v>
      </c>
      <c r="BI200" s="464">
        <f>+IF($I200=BI$10,IF($L200=BI$11,#REF!,0),0)</f>
        <v>0</v>
      </c>
      <c r="BJ200" s="466">
        <f>+IF($I200=BJ$10,IF($L200=BJ$11,#REF!,0),0)</f>
        <v>0</v>
      </c>
    </row>
    <row r="201" spans="5:62" s="467" customFormat="1" ht="16.5" hidden="1" customHeight="1">
      <c r="E201" s="454" t="s">
        <v>1217</v>
      </c>
      <c r="F201" s="455"/>
      <c r="G201" s="456"/>
      <c r="H201" s="457" t="str">
        <f t="shared" si="38"/>
        <v>-</v>
      </c>
      <c r="I201" s="458" t="s">
        <v>1197</v>
      </c>
      <c r="J201" s="566" t="s">
        <v>1198</v>
      </c>
      <c r="K201" s="571">
        <v>300</v>
      </c>
      <c r="L201" s="460" t="s">
        <v>1188</v>
      </c>
      <c r="M201" s="463">
        <f t="shared" si="36"/>
        <v>0</v>
      </c>
      <c r="N201" s="463">
        <f t="shared" si="36"/>
        <v>0</v>
      </c>
      <c r="O201" s="463">
        <f t="shared" si="36"/>
        <v>0</v>
      </c>
      <c r="P201" s="463">
        <f t="shared" si="36"/>
        <v>0</v>
      </c>
      <c r="Q201" s="463">
        <f t="shared" si="36"/>
        <v>1</v>
      </c>
      <c r="R201" s="463">
        <f t="shared" si="36"/>
        <v>0</v>
      </c>
      <c r="S201" s="463">
        <f t="shared" si="36"/>
        <v>0</v>
      </c>
      <c r="T201" s="463">
        <f t="shared" si="36"/>
        <v>0</v>
      </c>
      <c r="U201" s="463">
        <f t="shared" si="36"/>
        <v>0</v>
      </c>
      <c r="V201" s="463">
        <f t="shared" si="36"/>
        <v>0</v>
      </c>
      <c r="W201" s="463">
        <f t="shared" si="36"/>
        <v>0</v>
      </c>
      <c r="X201" s="463">
        <f t="shared" si="37"/>
        <v>0</v>
      </c>
      <c r="Y201" s="463">
        <f t="shared" si="37"/>
        <v>0</v>
      </c>
      <c r="Z201" s="463">
        <f t="shared" si="37"/>
        <v>0</v>
      </c>
      <c r="AA201" s="463">
        <f t="shared" si="37"/>
        <v>0</v>
      </c>
      <c r="AB201" s="463">
        <f t="shared" si="37"/>
        <v>0</v>
      </c>
      <c r="AC201" s="463">
        <f t="shared" si="37"/>
        <v>0</v>
      </c>
      <c r="AD201" s="463">
        <f t="shared" si="37"/>
        <v>0</v>
      </c>
      <c r="AE201" s="463">
        <f t="shared" si="37"/>
        <v>0</v>
      </c>
      <c r="AF201" s="621">
        <f t="shared" si="37"/>
        <v>0</v>
      </c>
      <c r="AG201" s="573"/>
      <c r="AH201" s="464"/>
      <c r="AI201" s="464"/>
      <c r="AJ201" s="464"/>
      <c r="AK201" s="464"/>
      <c r="AL201" s="465">
        <f>+IF($I201=AL$10,IF($L201=AL$11,#REF!,0),0)</f>
        <v>0</v>
      </c>
      <c r="AM201" s="463">
        <f>+IF($I201=AM$10,IF($L201=AM$11,#REF!,0),0)</f>
        <v>0</v>
      </c>
      <c r="AN201" s="464">
        <f>+IF($I201=AN$10,IF($L201=AN$11,#REF!,0),0)</f>
        <v>0</v>
      </c>
      <c r="AO201" s="464">
        <f>+IF($I201=AO$10,IF($L201=AO$11,#REF!,0),0)</f>
        <v>0</v>
      </c>
      <c r="AP201" s="464">
        <f>+IF($I201=AP$10,IF($L201=AP$11,#REF!,0),0)</f>
        <v>0</v>
      </c>
      <c r="AQ201" s="464">
        <f>+IF($I201=AQ$10,IF($L201=AQ$11,#REF!,0),0)</f>
        <v>0</v>
      </c>
      <c r="AR201" s="465">
        <f>+IF($I201=AR$10,IF($L201=AR$11,#REF!,0),0)</f>
        <v>0</v>
      </c>
      <c r="AS201" s="463">
        <f>+IF($I201=AS$10,IF($L201=AS$11,#REF!,0),0)</f>
        <v>0</v>
      </c>
      <c r="AT201" s="464">
        <f>+IF($I201=AT$10,IF($L201=AT$11,#REF!,0),0)</f>
        <v>0</v>
      </c>
      <c r="AU201" s="464">
        <f>+IF($I201=AU$10,IF($L201=AU$11,#REF!,0),0)</f>
        <v>0</v>
      </c>
      <c r="AV201" s="464">
        <f>+IF($I201=AV$10,IF($L201=AV$11,#REF!,0),0)</f>
        <v>0</v>
      </c>
      <c r="AW201" s="464">
        <f>+IF($I201=AW$10,IF($L201=AW$11,#REF!,0),0)</f>
        <v>0</v>
      </c>
      <c r="AX201" s="465">
        <f>+IF($I201=AX$10,IF($L201=AX$11,#REF!,0),0)</f>
        <v>0</v>
      </c>
      <c r="AY201" s="463">
        <f>+IF($I201=AY$10,IF($L201=AY$11,#REF!,0),0)</f>
        <v>0</v>
      </c>
      <c r="AZ201" s="464">
        <f>+IF($I201=AZ$10,IF($L201=AZ$11,#REF!,0),0)</f>
        <v>0</v>
      </c>
      <c r="BA201" s="464">
        <v>1</v>
      </c>
      <c r="BB201" s="464">
        <f>+IF($I201=BB$10,IF($L201=BB$11,#REF!,0),0)</f>
        <v>0</v>
      </c>
      <c r="BC201" s="464">
        <f>+IF($I201=BC$10,IF($L201=BC$11,#REF!,0),0)</f>
        <v>0</v>
      </c>
      <c r="BD201" s="465">
        <f>+IF($I201=BD$10,IF($L201=BD$11,#REF!,0),0)</f>
        <v>0</v>
      </c>
      <c r="BE201" s="463">
        <f>+IF($I201=BE$10,IF($L201=BE$11,#REF!,0),0)</f>
        <v>0</v>
      </c>
      <c r="BF201" s="464">
        <f>+IF($I201=BF$10,IF($L201=BF$11,#REF!,0),0)</f>
        <v>0</v>
      </c>
      <c r="BG201" s="464">
        <f>+IF($I201=BG$10,IF($L201=BG$11,#REF!,0),0)</f>
        <v>0</v>
      </c>
      <c r="BH201" s="464">
        <f>+IF($I201=BH$10,IF($L201=BH$11,#REF!,0),0)</f>
        <v>0</v>
      </c>
      <c r="BI201" s="464">
        <f>+IF($I201=BI$10,IF($L201=BI$11,#REF!,0),0)</f>
        <v>0</v>
      </c>
      <c r="BJ201" s="466">
        <f>+IF($I201=BJ$10,IF($L201=BJ$11,#REF!,0),0)</f>
        <v>0</v>
      </c>
    </row>
    <row r="202" spans="5:62" s="467" customFormat="1" ht="16.5" hidden="1" customHeight="1">
      <c r="E202" s="454" t="s">
        <v>1217</v>
      </c>
      <c r="F202" s="455"/>
      <c r="G202" s="456"/>
      <c r="H202" s="457" t="str">
        <f t="shared" si="38"/>
        <v>-</v>
      </c>
      <c r="I202" s="458" t="s">
        <v>1194</v>
      </c>
      <c r="J202" s="566"/>
      <c r="K202" s="571">
        <v>300</v>
      </c>
      <c r="L202" s="460" t="s">
        <v>1188</v>
      </c>
      <c r="M202" s="463">
        <f t="shared" si="36"/>
        <v>0</v>
      </c>
      <c r="N202" s="463">
        <f t="shared" si="36"/>
        <v>0</v>
      </c>
      <c r="O202" s="463">
        <f t="shared" si="36"/>
        <v>0</v>
      </c>
      <c r="P202" s="463">
        <f t="shared" si="36"/>
        <v>0</v>
      </c>
      <c r="Q202" s="463">
        <f t="shared" si="36"/>
        <v>1</v>
      </c>
      <c r="R202" s="463">
        <f t="shared" si="36"/>
        <v>0</v>
      </c>
      <c r="S202" s="463">
        <f t="shared" si="36"/>
        <v>0</v>
      </c>
      <c r="T202" s="463">
        <f t="shared" si="36"/>
        <v>0</v>
      </c>
      <c r="U202" s="463">
        <f t="shared" si="36"/>
        <v>0</v>
      </c>
      <c r="V202" s="463">
        <f t="shared" si="36"/>
        <v>0</v>
      </c>
      <c r="W202" s="463">
        <f t="shared" si="36"/>
        <v>0</v>
      </c>
      <c r="X202" s="463">
        <f t="shared" si="37"/>
        <v>0</v>
      </c>
      <c r="Y202" s="463">
        <f t="shared" si="37"/>
        <v>0</v>
      </c>
      <c r="Z202" s="463">
        <f t="shared" si="37"/>
        <v>0</v>
      </c>
      <c r="AA202" s="463">
        <f t="shared" si="37"/>
        <v>0</v>
      </c>
      <c r="AB202" s="463">
        <f t="shared" si="37"/>
        <v>0</v>
      </c>
      <c r="AC202" s="463">
        <f t="shared" si="37"/>
        <v>0</v>
      </c>
      <c r="AD202" s="463">
        <f t="shared" si="37"/>
        <v>0</v>
      </c>
      <c r="AE202" s="463">
        <f t="shared" si="37"/>
        <v>0</v>
      </c>
      <c r="AF202" s="621">
        <f t="shared" si="37"/>
        <v>0</v>
      </c>
      <c r="AG202" s="573"/>
      <c r="AH202" s="464"/>
      <c r="AI202" s="464"/>
      <c r="AJ202" s="464"/>
      <c r="AK202" s="464"/>
      <c r="AL202" s="465">
        <f>+IF($I202=AL$10,IF($L202=AL$11,#REF!,0),0)</f>
        <v>0</v>
      </c>
      <c r="AM202" s="463">
        <f>+IF($I202=AM$10,IF($L202=AM$11,#REF!,0),0)</f>
        <v>0</v>
      </c>
      <c r="AN202" s="464">
        <f>+IF($I202=AN$10,IF($L202=AN$11,#REF!,0),0)</f>
        <v>0</v>
      </c>
      <c r="AO202" s="464">
        <f>+IF($I202=AO$10,IF($L202=AO$11,#REF!,0),0)</f>
        <v>0</v>
      </c>
      <c r="AP202" s="464">
        <f>+IF($I202=AP$10,IF($L202=AP$11,#REF!,0),0)</f>
        <v>0</v>
      </c>
      <c r="AQ202" s="464">
        <f>+IF($I202=AQ$10,IF($L202=AQ$11,#REF!,0),0)</f>
        <v>0</v>
      </c>
      <c r="AR202" s="465">
        <f>+IF($I202=AR$10,IF($L202=AR$11,#REF!,0),0)</f>
        <v>0</v>
      </c>
      <c r="AS202" s="463">
        <f>+IF($I202=AS$10,IF($L202=AS$11,#REF!,0),0)</f>
        <v>0</v>
      </c>
      <c r="AT202" s="464">
        <f>+IF($I202=AT$10,IF($L202=AT$11,#REF!,0),0)</f>
        <v>0</v>
      </c>
      <c r="AU202" s="464">
        <f>+IF($I202=AU$10,IF($L202=AU$11,#REF!,0),0)</f>
        <v>0</v>
      </c>
      <c r="AV202" s="464">
        <f>+IF($I202=AV$10,IF($L202=AV$11,#REF!,0),0)</f>
        <v>0</v>
      </c>
      <c r="AW202" s="464">
        <f>+IF($I202=AW$10,IF($L202=AW$11,#REF!,0),0)</f>
        <v>0</v>
      </c>
      <c r="AX202" s="465">
        <f>+IF($I202=AX$10,IF($L202=AX$11,#REF!,0),0)</f>
        <v>0</v>
      </c>
      <c r="AY202" s="463">
        <f>+IF($I202=AY$10,IF($L202=AY$11,#REF!,0),0)</f>
        <v>0</v>
      </c>
      <c r="AZ202" s="464">
        <f>+IF($I202=AZ$10,IF($L202=AZ$11,#REF!,0),0)</f>
        <v>0</v>
      </c>
      <c r="BA202" s="464">
        <f>+IF($I202=BA$10,IF($L202=BA$11,#REF!,0),0)</f>
        <v>0</v>
      </c>
      <c r="BB202" s="464">
        <v>1</v>
      </c>
      <c r="BC202" s="464">
        <f>+IF($I202=BC$10,IF($L202=BC$11,#REF!,0),0)</f>
        <v>0</v>
      </c>
      <c r="BD202" s="465">
        <f>+IF($I202=BD$10,IF($L202=BD$11,#REF!,0),0)</f>
        <v>0</v>
      </c>
      <c r="BE202" s="463">
        <f>+IF($I202=BE$10,IF($L202=BE$11,#REF!,0),0)</f>
        <v>0</v>
      </c>
      <c r="BF202" s="464">
        <f>+IF($I202=BF$10,IF($L202=BF$11,#REF!,0),0)</f>
        <v>0</v>
      </c>
      <c r="BG202" s="464">
        <f>+IF($I202=BG$10,IF($L202=BG$11,#REF!,0),0)</f>
        <v>0</v>
      </c>
      <c r="BH202" s="464">
        <f>+IF($I202=BH$10,IF($L202=BH$11,#REF!,0),0)</f>
        <v>0</v>
      </c>
      <c r="BI202" s="464">
        <f>+IF($I202=BI$10,IF($L202=BI$11,#REF!,0),0)</f>
        <v>0</v>
      </c>
      <c r="BJ202" s="466">
        <f>+IF($I202=BJ$10,IF($L202=BJ$11,#REF!,0),0)</f>
        <v>0</v>
      </c>
    </row>
    <row r="203" spans="5:62" s="467" customFormat="1" ht="16.5" hidden="1" customHeight="1">
      <c r="E203" s="454" t="s">
        <v>1217</v>
      </c>
      <c r="F203" s="455"/>
      <c r="G203" s="456"/>
      <c r="H203" s="457" t="str">
        <f t="shared" si="38"/>
        <v>-</v>
      </c>
      <c r="I203" s="458" t="s">
        <v>1197</v>
      </c>
      <c r="J203" s="566" t="s">
        <v>1198</v>
      </c>
      <c r="K203" s="571">
        <v>200</v>
      </c>
      <c r="L203" s="460" t="s">
        <v>1188</v>
      </c>
      <c r="M203" s="463">
        <f t="shared" si="36"/>
        <v>0</v>
      </c>
      <c r="N203" s="463">
        <f t="shared" si="36"/>
        <v>0</v>
      </c>
      <c r="O203" s="463">
        <f t="shared" si="36"/>
        <v>1</v>
      </c>
      <c r="P203" s="463">
        <f t="shared" si="36"/>
        <v>0</v>
      </c>
      <c r="Q203" s="463">
        <f t="shared" si="36"/>
        <v>0</v>
      </c>
      <c r="R203" s="463">
        <f t="shared" si="36"/>
        <v>0</v>
      </c>
      <c r="S203" s="463">
        <f t="shared" si="36"/>
        <v>0</v>
      </c>
      <c r="T203" s="463">
        <f t="shared" si="36"/>
        <v>0</v>
      </c>
      <c r="U203" s="463">
        <f t="shared" si="36"/>
        <v>0</v>
      </c>
      <c r="V203" s="463">
        <f t="shared" si="36"/>
        <v>0</v>
      </c>
      <c r="W203" s="463">
        <f t="shared" si="36"/>
        <v>0</v>
      </c>
      <c r="X203" s="463">
        <f t="shared" si="37"/>
        <v>0</v>
      </c>
      <c r="Y203" s="463">
        <f t="shared" si="37"/>
        <v>0</v>
      </c>
      <c r="Z203" s="463">
        <f t="shared" si="37"/>
        <v>0</v>
      </c>
      <c r="AA203" s="463">
        <f t="shared" si="37"/>
        <v>0</v>
      </c>
      <c r="AB203" s="463">
        <f t="shared" si="37"/>
        <v>0</v>
      </c>
      <c r="AC203" s="463">
        <f t="shared" si="37"/>
        <v>0</v>
      </c>
      <c r="AD203" s="463">
        <f t="shared" si="37"/>
        <v>0</v>
      </c>
      <c r="AE203" s="463">
        <f t="shared" si="37"/>
        <v>0</v>
      </c>
      <c r="AF203" s="621">
        <f t="shared" si="37"/>
        <v>0</v>
      </c>
      <c r="AG203" s="573"/>
      <c r="AH203" s="464"/>
      <c r="AI203" s="464"/>
      <c r="AJ203" s="464"/>
      <c r="AK203" s="464"/>
      <c r="AL203" s="465"/>
      <c r="AM203" s="463"/>
      <c r="AN203" s="464"/>
      <c r="AO203" s="464"/>
      <c r="AP203" s="464"/>
      <c r="AQ203" s="464"/>
      <c r="AR203" s="465"/>
      <c r="AS203" s="463"/>
      <c r="AT203" s="464"/>
      <c r="AU203" s="464"/>
      <c r="AV203" s="464"/>
      <c r="AW203" s="464"/>
      <c r="AX203" s="465"/>
      <c r="AY203" s="463"/>
      <c r="AZ203" s="464"/>
      <c r="BA203" s="464"/>
      <c r="BB203" s="464"/>
      <c r="BC203" s="464"/>
      <c r="BD203" s="465"/>
      <c r="BE203" s="463"/>
      <c r="BF203" s="464"/>
      <c r="BG203" s="464"/>
      <c r="BH203" s="464">
        <f>+IF($I203=BH$10,IF($L203=BH$11,#REF!,0),0)</f>
        <v>0</v>
      </c>
      <c r="BI203" s="464">
        <f>+IF($I203=BI$10,IF($L203=BI$11,#REF!,0),0)</f>
        <v>0</v>
      </c>
      <c r="BJ203" s="466">
        <f>+IF($I203=BJ$10,IF($L203=BJ$11,#REF!,0),0)</f>
        <v>0</v>
      </c>
    </row>
    <row r="204" spans="5:62" s="467" customFormat="1" ht="16.5" hidden="1" customHeight="1">
      <c r="E204" s="454" t="s">
        <v>1217</v>
      </c>
      <c r="F204" s="455"/>
      <c r="G204" s="456"/>
      <c r="H204" s="457" t="str">
        <f t="shared" si="38"/>
        <v>-</v>
      </c>
      <c r="I204" s="458" t="s">
        <v>1194</v>
      </c>
      <c r="J204" s="566"/>
      <c r="K204" s="571">
        <v>300</v>
      </c>
      <c r="L204" s="460" t="s">
        <v>1188</v>
      </c>
      <c r="M204" s="463">
        <f t="shared" si="36"/>
        <v>0</v>
      </c>
      <c r="N204" s="463">
        <f t="shared" si="36"/>
        <v>0</v>
      </c>
      <c r="O204" s="463">
        <f t="shared" si="36"/>
        <v>0</v>
      </c>
      <c r="P204" s="463">
        <f t="shared" si="36"/>
        <v>0</v>
      </c>
      <c r="Q204" s="463">
        <f t="shared" si="36"/>
        <v>1</v>
      </c>
      <c r="R204" s="463">
        <f t="shared" si="36"/>
        <v>0</v>
      </c>
      <c r="S204" s="463">
        <f t="shared" si="36"/>
        <v>0</v>
      </c>
      <c r="T204" s="463">
        <f t="shared" si="36"/>
        <v>0</v>
      </c>
      <c r="U204" s="463">
        <f t="shared" si="36"/>
        <v>0</v>
      </c>
      <c r="V204" s="463">
        <f t="shared" si="36"/>
        <v>0</v>
      </c>
      <c r="W204" s="463">
        <f t="shared" si="36"/>
        <v>0</v>
      </c>
      <c r="X204" s="463">
        <f t="shared" si="36"/>
        <v>0</v>
      </c>
      <c r="Y204" s="463">
        <f t="shared" si="36"/>
        <v>0</v>
      </c>
      <c r="Z204" s="463">
        <f t="shared" si="36"/>
        <v>0</v>
      </c>
      <c r="AA204" s="463">
        <f t="shared" si="36"/>
        <v>0</v>
      </c>
      <c r="AB204" s="463">
        <f t="shared" si="36"/>
        <v>0</v>
      </c>
      <c r="AC204" s="463">
        <f t="shared" si="37"/>
        <v>0</v>
      </c>
      <c r="AD204" s="463">
        <f t="shared" si="37"/>
        <v>0</v>
      </c>
      <c r="AE204" s="463">
        <f t="shared" si="37"/>
        <v>0</v>
      </c>
      <c r="AF204" s="621">
        <f t="shared" si="37"/>
        <v>0</v>
      </c>
      <c r="AG204" s="573"/>
      <c r="AH204" s="464"/>
      <c r="AI204" s="464"/>
      <c r="AJ204" s="464"/>
      <c r="AK204" s="464"/>
      <c r="AL204" s="465"/>
      <c r="AM204" s="463"/>
      <c r="AN204" s="464"/>
      <c r="AO204" s="464"/>
      <c r="AP204" s="464"/>
      <c r="AQ204" s="464"/>
      <c r="AR204" s="465"/>
      <c r="AS204" s="463"/>
      <c r="AT204" s="464"/>
      <c r="AU204" s="464"/>
      <c r="AV204" s="464"/>
      <c r="AW204" s="464"/>
      <c r="AX204" s="465"/>
      <c r="AY204" s="463"/>
      <c r="AZ204" s="464"/>
      <c r="BA204" s="464"/>
      <c r="BB204" s="464"/>
      <c r="BC204" s="464"/>
      <c r="BD204" s="465"/>
      <c r="BE204" s="463"/>
      <c r="BF204" s="464"/>
      <c r="BG204" s="464"/>
      <c r="BH204" s="464">
        <f>+IF($I204=BH$10,IF($L204=BH$11,#REF!,0),0)</f>
        <v>0</v>
      </c>
      <c r="BI204" s="464">
        <f>+IF($I204=BI$10,IF($L204=BI$11,#REF!,0),0)</f>
        <v>0</v>
      </c>
      <c r="BJ204" s="466">
        <f>+IF($I204=BJ$10,IF($L204=BJ$11,#REF!,0),0)</f>
        <v>0</v>
      </c>
    </row>
    <row r="205" spans="5:62" s="467" customFormat="1" ht="16.5" hidden="1" customHeight="1">
      <c r="E205" s="454" t="s">
        <v>1217</v>
      </c>
      <c r="F205" s="455"/>
      <c r="G205" s="456"/>
      <c r="H205" s="457" t="str">
        <f t="shared" si="38"/>
        <v>-</v>
      </c>
      <c r="I205" s="458" t="s">
        <v>1193</v>
      </c>
      <c r="J205" s="566"/>
      <c r="K205" s="571">
        <v>200</v>
      </c>
      <c r="L205" s="460" t="s">
        <v>1188</v>
      </c>
      <c r="M205" s="463">
        <f t="shared" si="36"/>
        <v>0</v>
      </c>
      <c r="N205" s="463">
        <f t="shared" si="36"/>
        <v>0</v>
      </c>
      <c r="O205" s="463">
        <f t="shared" si="36"/>
        <v>1</v>
      </c>
      <c r="P205" s="463">
        <f t="shared" si="36"/>
        <v>0</v>
      </c>
      <c r="Q205" s="463">
        <f t="shared" si="36"/>
        <v>0</v>
      </c>
      <c r="R205" s="463">
        <f t="shared" si="36"/>
        <v>0</v>
      </c>
      <c r="S205" s="463">
        <f t="shared" si="36"/>
        <v>0</v>
      </c>
      <c r="T205" s="463">
        <f t="shared" si="36"/>
        <v>0</v>
      </c>
      <c r="U205" s="463">
        <f t="shared" si="36"/>
        <v>0</v>
      </c>
      <c r="V205" s="463">
        <f t="shared" si="36"/>
        <v>0</v>
      </c>
      <c r="W205" s="463">
        <f t="shared" si="36"/>
        <v>0</v>
      </c>
      <c r="X205" s="463">
        <f t="shared" si="37"/>
        <v>0</v>
      </c>
      <c r="Y205" s="463">
        <f t="shared" si="37"/>
        <v>0</v>
      </c>
      <c r="Z205" s="463">
        <f t="shared" si="37"/>
        <v>0</v>
      </c>
      <c r="AA205" s="463">
        <f t="shared" si="37"/>
        <v>0</v>
      </c>
      <c r="AB205" s="463">
        <f t="shared" si="37"/>
        <v>0</v>
      </c>
      <c r="AC205" s="463">
        <f t="shared" si="37"/>
        <v>0</v>
      </c>
      <c r="AD205" s="463">
        <f t="shared" si="37"/>
        <v>0</v>
      </c>
      <c r="AE205" s="463">
        <f t="shared" si="37"/>
        <v>0</v>
      </c>
      <c r="AF205" s="621">
        <f t="shared" si="37"/>
        <v>0</v>
      </c>
      <c r="AG205" s="573"/>
      <c r="AH205" s="464"/>
      <c r="AI205" s="464"/>
      <c r="AJ205" s="464"/>
      <c r="AK205" s="464"/>
      <c r="AL205" s="465">
        <f>+IF($I205=AL$10,IF($L205=AL$11,#REF!,0),0)</f>
        <v>0</v>
      </c>
      <c r="AM205" s="463">
        <f>+IF($I205=AM$10,IF($L205=AM$11,#REF!,0),0)</f>
        <v>0</v>
      </c>
      <c r="AN205" s="464">
        <f>+IF($I205=AN$10,IF($L205=AN$11,#REF!,0),0)</f>
        <v>0</v>
      </c>
      <c r="AO205" s="464">
        <f>+IF($I205=AO$10,IF($L205=AO$11,#REF!,0),0)</f>
        <v>0</v>
      </c>
      <c r="AP205" s="464">
        <f>+IF($I205=AP$10,IF($L205=AP$11,#REF!,0),0)</f>
        <v>0</v>
      </c>
      <c r="AQ205" s="464">
        <f>+IF($I205=AQ$10,IF($L205=AQ$11,#REF!,0),0)</f>
        <v>0</v>
      </c>
      <c r="AR205" s="465">
        <f>+IF($I205=AR$10,IF($L205=AR$11,#REF!,0),0)</f>
        <v>0</v>
      </c>
      <c r="AS205" s="463">
        <f>+IF($I205=AS$10,IF($L205=AS$11,#REF!,0),0)</f>
        <v>0</v>
      </c>
      <c r="AT205" s="464">
        <f>+IF($I205=AT$10,IF($L205=AT$11,#REF!,0),0)</f>
        <v>0</v>
      </c>
      <c r="AU205" s="464">
        <f>+IF($I205=AU$10,IF($L205=AU$11,#REF!,0),0)</f>
        <v>0</v>
      </c>
      <c r="AV205" s="464">
        <f>+IF($I205=AV$10,IF($L205=AV$11,#REF!,0),0)</f>
        <v>0</v>
      </c>
      <c r="AW205" s="464">
        <f>+IF($I205=AW$10,IF($L205=AW$11,#REF!,0),0)</f>
        <v>0</v>
      </c>
      <c r="AX205" s="465">
        <f>+IF($I205=AX$10,IF($L205=AX$11,#REF!,0),0)</f>
        <v>0</v>
      </c>
      <c r="AY205" s="463">
        <f>+IF($I205=AY$10,IF($L205=AY$11,#REF!,0),0)</f>
        <v>0</v>
      </c>
      <c r="AZ205" s="464">
        <f>+IF($I205=AZ$10,IF($L205=AZ$11,#REF!,0),0)</f>
        <v>0</v>
      </c>
      <c r="BA205" s="464">
        <f>+IF($I205=BA$10,IF($L205=BA$11,#REF!,0),0)</f>
        <v>0</v>
      </c>
      <c r="BB205" s="464">
        <f>+IF($I205=BB$10,IF($L205=BB$11,#REF!,0),0)</f>
        <v>0</v>
      </c>
      <c r="BC205" s="464">
        <f>+IF($I205=BC$10,IF($L205=BC$11,#REF!,0),0)</f>
        <v>0</v>
      </c>
      <c r="BD205" s="465">
        <f>+IF($I205=BD$10,IF($L205=BD$11,#REF!,0),0)</f>
        <v>0</v>
      </c>
      <c r="BE205" s="463">
        <f>+IF($I205=BE$10,IF($L205=BE$11,#REF!,0),0)</f>
        <v>0</v>
      </c>
      <c r="BF205" s="464">
        <f>+IF($I205=BF$10,IF($L205=BF$11,#REF!,0),0)</f>
        <v>0</v>
      </c>
      <c r="BG205" s="464">
        <f>+IF($I205=BG$10,IF($L205=BG$11,#REF!,0),0)</f>
        <v>0</v>
      </c>
      <c r="BH205" s="464">
        <f>+IF($I205=BH$10,IF($L205=BH$11,#REF!,0),0)</f>
        <v>0</v>
      </c>
      <c r="BI205" s="464">
        <f>+IF($I205=BI$10,IF($L205=BI$11,#REF!,0),0)</f>
        <v>0</v>
      </c>
      <c r="BJ205" s="466">
        <f>+IF($I205=BJ$10,IF($L205=BJ$11,#REF!,0),0)</f>
        <v>0</v>
      </c>
    </row>
    <row r="206" spans="5:62" s="467" customFormat="1" ht="16.5" hidden="1" customHeight="1">
      <c r="E206" s="454" t="s">
        <v>1217</v>
      </c>
      <c r="F206" s="455"/>
      <c r="G206" s="456"/>
      <c r="H206" s="457" t="str">
        <f t="shared" si="38"/>
        <v>-</v>
      </c>
      <c r="I206" s="458" t="s">
        <v>1193</v>
      </c>
      <c r="J206" s="566"/>
      <c r="K206" s="571">
        <v>200</v>
      </c>
      <c r="L206" s="460" t="s">
        <v>1188</v>
      </c>
      <c r="M206" s="463">
        <f t="shared" si="36"/>
        <v>0</v>
      </c>
      <c r="N206" s="463">
        <f t="shared" si="36"/>
        <v>0</v>
      </c>
      <c r="O206" s="463">
        <f t="shared" si="36"/>
        <v>1</v>
      </c>
      <c r="P206" s="463">
        <f t="shared" si="36"/>
        <v>0</v>
      </c>
      <c r="Q206" s="463">
        <f t="shared" si="36"/>
        <v>0</v>
      </c>
      <c r="R206" s="463">
        <f t="shared" si="36"/>
        <v>0</v>
      </c>
      <c r="S206" s="463">
        <f t="shared" si="36"/>
        <v>0</v>
      </c>
      <c r="T206" s="463">
        <f t="shared" si="36"/>
        <v>0</v>
      </c>
      <c r="U206" s="463">
        <f t="shared" si="36"/>
        <v>0</v>
      </c>
      <c r="V206" s="463">
        <f t="shared" si="36"/>
        <v>0</v>
      </c>
      <c r="W206" s="463">
        <f t="shared" si="36"/>
        <v>0</v>
      </c>
      <c r="X206" s="463">
        <f t="shared" si="37"/>
        <v>0</v>
      </c>
      <c r="Y206" s="463">
        <f t="shared" si="37"/>
        <v>0</v>
      </c>
      <c r="Z206" s="463">
        <f t="shared" si="37"/>
        <v>0</v>
      </c>
      <c r="AA206" s="463">
        <f t="shared" si="37"/>
        <v>0</v>
      </c>
      <c r="AB206" s="463">
        <f t="shared" si="37"/>
        <v>0</v>
      </c>
      <c r="AC206" s="463">
        <f t="shared" si="37"/>
        <v>0</v>
      </c>
      <c r="AD206" s="463">
        <f t="shared" si="37"/>
        <v>0</v>
      </c>
      <c r="AE206" s="463">
        <f t="shared" si="37"/>
        <v>0</v>
      </c>
      <c r="AF206" s="621">
        <f t="shared" si="37"/>
        <v>0</v>
      </c>
      <c r="AG206" s="573"/>
      <c r="AH206" s="464"/>
      <c r="AI206" s="464"/>
      <c r="AJ206" s="464"/>
      <c r="AK206" s="464"/>
      <c r="AL206" s="465">
        <f>+IF($I206=AL$10,IF($L206=AL$11,#REF!,0),0)</f>
        <v>0</v>
      </c>
      <c r="AM206" s="463">
        <f>+IF($I206=AM$10,IF($L206=AM$11,#REF!,0),0)</f>
        <v>0</v>
      </c>
      <c r="AN206" s="464">
        <f>+IF($I206=AN$10,IF($L206=AN$11,#REF!,0),0)</f>
        <v>0</v>
      </c>
      <c r="AO206" s="464">
        <f>+IF($I206=AO$10,IF($L206=AO$11,#REF!,0),0)</f>
        <v>0</v>
      </c>
      <c r="AP206" s="464">
        <f>+IF($I206=AP$10,IF($L206=AP$11,#REF!,0),0)</f>
        <v>0</v>
      </c>
      <c r="AQ206" s="464">
        <f>+IF($I206=AQ$10,IF($L206=AQ$11,#REF!,0),0)</f>
        <v>0</v>
      </c>
      <c r="AR206" s="465">
        <f>+IF($I206=AR$10,IF($L206=AR$11,#REF!,0),0)</f>
        <v>0</v>
      </c>
      <c r="AS206" s="463">
        <f>+IF($I206=AS$10,IF($L206=AS$11,#REF!,0),0)</f>
        <v>0</v>
      </c>
      <c r="AT206" s="464">
        <f>+IF($I206=AT$10,IF($L206=AT$11,#REF!,0),0)</f>
        <v>0</v>
      </c>
      <c r="AU206" s="464">
        <f>+IF($I206=AU$10,IF($L206=AU$11,#REF!,0),0)</f>
        <v>0</v>
      </c>
      <c r="AV206" s="464">
        <f>+IF($I206=AV$10,IF($L206=AV$11,#REF!,0),0)</f>
        <v>0</v>
      </c>
      <c r="AW206" s="464">
        <f>+IF($I206=AW$10,IF($L206=AW$11,#REF!,0),0)</f>
        <v>0</v>
      </c>
      <c r="AX206" s="465">
        <f>+IF($I206=AX$10,IF($L206=AX$11,#REF!,0),0)</f>
        <v>0</v>
      </c>
      <c r="AY206" s="463">
        <f>+IF($I206=AY$10,IF($L206=AY$11,#REF!,0),0)</f>
        <v>0</v>
      </c>
      <c r="AZ206" s="464">
        <f>+IF($I206=AZ$10,IF($L206=AZ$11,#REF!,0),0)</f>
        <v>0</v>
      </c>
      <c r="BA206" s="464">
        <f>+IF($I206=BA$10,IF($L206=BA$11,#REF!,0),0)</f>
        <v>0</v>
      </c>
      <c r="BB206" s="464">
        <f>+IF($I206=BB$10,IF($L206=BB$11,#REF!,0),0)</f>
        <v>0</v>
      </c>
      <c r="BC206" s="464">
        <f>+IF($I206=BC$10,IF($L206=BC$11,#REF!,0),0)</f>
        <v>0</v>
      </c>
      <c r="BD206" s="465">
        <f>+IF($I206=BD$10,IF($L206=BD$11,#REF!,0),0)</f>
        <v>0</v>
      </c>
      <c r="BE206" s="463">
        <f>+IF($I206=BE$10,IF($L206=BE$11,#REF!,0),0)</f>
        <v>0</v>
      </c>
      <c r="BF206" s="464">
        <f>+IF($I206=BF$10,IF($L206=BF$11,#REF!,0),0)</f>
        <v>0</v>
      </c>
      <c r="BG206" s="464">
        <f>+IF($I206=BG$10,IF($L206=BG$11,#REF!,0),0)</f>
        <v>0</v>
      </c>
      <c r="BH206" s="464">
        <f>+IF($I206=BH$10,IF($L206=BH$11,#REF!,0),0)</f>
        <v>0</v>
      </c>
      <c r="BI206" s="464">
        <f>+IF($I206=BI$10,IF($L206=BI$11,#REF!,0),0)</f>
        <v>0</v>
      </c>
      <c r="BJ206" s="466">
        <f>+IF($I206=BJ$10,IF($L206=BJ$11,#REF!,0),0)</f>
        <v>0</v>
      </c>
    </row>
    <row r="207" spans="5:62" s="467" customFormat="1" ht="16.5" hidden="1" customHeight="1">
      <c r="E207" s="454" t="s">
        <v>1217</v>
      </c>
      <c r="F207" s="455"/>
      <c r="G207" s="456"/>
      <c r="H207" s="457" t="str">
        <f t="shared" si="38"/>
        <v>-</v>
      </c>
      <c r="I207" s="458" t="s">
        <v>1197</v>
      </c>
      <c r="J207" s="566" t="s">
        <v>1198</v>
      </c>
      <c r="K207" s="571">
        <v>200</v>
      </c>
      <c r="L207" s="460" t="s">
        <v>1188</v>
      </c>
      <c r="M207" s="463">
        <f t="shared" si="36"/>
        <v>0</v>
      </c>
      <c r="N207" s="463">
        <f t="shared" si="36"/>
        <v>0</v>
      </c>
      <c r="O207" s="463">
        <f t="shared" si="36"/>
        <v>1</v>
      </c>
      <c r="P207" s="463">
        <f t="shared" si="36"/>
        <v>0</v>
      </c>
      <c r="Q207" s="463">
        <f t="shared" si="36"/>
        <v>0</v>
      </c>
      <c r="R207" s="463">
        <f t="shared" si="36"/>
        <v>0</v>
      </c>
      <c r="S207" s="463">
        <f t="shared" si="36"/>
        <v>0</v>
      </c>
      <c r="T207" s="463">
        <f t="shared" si="36"/>
        <v>0</v>
      </c>
      <c r="U207" s="463">
        <f t="shared" si="36"/>
        <v>0</v>
      </c>
      <c r="V207" s="463">
        <f t="shared" ref="V207:W207" si="39">+IF($L207=V$10,IF($K207=V$11,1,0),0)</f>
        <v>0</v>
      </c>
      <c r="W207" s="463">
        <f t="shared" si="39"/>
        <v>0</v>
      </c>
      <c r="X207" s="463">
        <f t="shared" si="37"/>
        <v>0</v>
      </c>
      <c r="Y207" s="463">
        <f t="shared" si="37"/>
        <v>0</v>
      </c>
      <c r="Z207" s="463">
        <f t="shared" si="37"/>
        <v>0</v>
      </c>
      <c r="AA207" s="463">
        <f t="shared" si="37"/>
        <v>0</v>
      </c>
      <c r="AB207" s="463">
        <f t="shared" si="37"/>
        <v>0</v>
      </c>
      <c r="AC207" s="463">
        <f t="shared" si="37"/>
        <v>0</v>
      </c>
      <c r="AD207" s="463">
        <f t="shared" si="37"/>
        <v>0</v>
      </c>
      <c r="AE207" s="463">
        <f t="shared" si="37"/>
        <v>0</v>
      </c>
      <c r="AF207" s="621">
        <f t="shared" si="37"/>
        <v>0</v>
      </c>
      <c r="AG207" s="573"/>
      <c r="AH207" s="464"/>
      <c r="AI207" s="464"/>
      <c r="AJ207" s="464"/>
      <c r="AK207" s="464"/>
      <c r="AL207" s="465">
        <f>+IF($I207=AL$10,IF($L207=AL$11,#REF!,0),0)</f>
        <v>0</v>
      </c>
      <c r="AM207" s="463">
        <f>+IF($I207=AM$10,IF($L207=AM$11,#REF!,0),0)</f>
        <v>0</v>
      </c>
      <c r="AN207" s="464">
        <f>+IF($I207=AN$10,IF($L207=AN$11,#REF!,0),0)</f>
        <v>0</v>
      </c>
      <c r="AO207" s="464">
        <f>+IF($I207=AO$10,IF($L207=AO$11,#REF!,0),0)</f>
        <v>0</v>
      </c>
      <c r="AP207" s="464">
        <f>+IF($I207=AP$10,IF($L207=AP$11,#REF!,0),0)</f>
        <v>0</v>
      </c>
      <c r="AQ207" s="464">
        <f>+IF($I207=AQ$10,IF($L207=AQ$11,#REF!,0),0)</f>
        <v>0</v>
      </c>
      <c r="AR207" s="465">
        <f>+IF($I207=AR$10,IF($L207=AR$11,#REF!,0),0)</f>
        <v>0</v>
      </c>
      <c r="AS207" s="463">
        <f>+IF($I207=AS$10,IF($L207=AS$11,#REF!,0),0)</f>
        <v>0</v>
      </c>
      <c r="AT207" s="464">
        <f>+IF($I207=AT$10,IF($L207=AT$11,#REF!,0),0)</f>
        <v>0</v>
      </c>
      <c r="AU207" s="464">
        <f>+IF($I207=AU$10,IF($L207=AU$11,#REF!,0),0)</f>
        <v>0</v>
      </c>
      <c r="AV207" s="464">
        <f>+IF($I207=AV$10,IF($L207=AV$11,#REF!,0),0)</f>
        <v>0</v>
      </c>
      <c r="AW207" s="464">
        <f>+IF($I207=AW$10,IF($L207=AW$11,#REF!,0),0)</f>
        <v>0</v>
      </c>
      <c r="AX207" s="465">
        <f>+IF($I207=AX$10,IF($L207=AX$11,#REF!,0),0)</f>
        <v>0</v>
      </c>
      <c r="AY207" s="463">
        <f>+IF($I207=AY$10,IF($L207=AY$11,#REF!,0),0)</f>
        <v>0</v>
      </c>
      <c r="AZ207" s="464">
        <f>+IF($I207=AZ$10,IF($L207=AZ$11,#REF!,0),0)</f>
        <v>0</v>
      </c>
      <c r="BA207" s="464">
        <f>+IF($I207=BA$10,IF($L207=BA$11,#REF!,0),0)</f>
        <v>0</v>
      </c>
      <c r="BB207" s="464">
        <f>+IF($I207=BB$10,IF($L207=BB$11,#REF!,0),0)</f>
        <v>0</v>
      </c>
      <c r="BC207" s="464">
        <f>+IF($I207=BC$10,IF($L207=BC$11,#REF!,0),0)</f>
        <v>0</v>
      </c>
      <c r="BD207" s="465">
        <f>+IF($I207=BD$10,IF($L207=BD$11,#REF!,0),0)</f>
        <v>0</v>
      </c>
      <c r="BE207" s="463">
        <f>+IF($I207=BE$10,IF($L207=BE$11,#REF!,0),0)</f>
        <v>0</v>
      </c>
      <c r="BF207" s="464">
        <f>+IF($I207=BF$10,IF($L207=BF$11,#REF!,0),0)</f>
        <v>0</v>
      </c>
      <c r="BG207" s="464">
        <f>+IF($I207=BG$10,IF($L207=BG$11,#REF!,0),0)</f>
        <v>0</v>
      </c>
      <c r="BH207" s="464">
        <f>+IF($I207=BH$10,IF($L207=BH$11,#REF!,0),0)</f>
        <v>0</v>
      </c>
      <c r="BI207" s="464">
        <f>+IF($I207=BI$10,IF($L207=BI$11,#REF!,0),0)</f>
        <v>0</v>
      </c>
      <c r="BJ207" s="466">
        <f>+IF($I207=BJ$10,IF($L207=BJ$11,#REF!,0),0)</f>
        <v>0</v>
      </c>
    </row>
    <row r="208" spans="5:62" s="467" customFormat="1" ht="16.5" hidden="1" customHeight="1">
      <c r="E208" s="454" t="s">
        <v>1217</v>
      </c>
      <c r="F208" s="455"/>
      <c r="G208" s="456"/>
      <c r="H208" s="457" t="str">
        <f t="shared" si="38"/>
        <v>-</v>
      </c>
      <c r="I208" s="458" t="s">
        <v>1193</v>
      </c>
      <c r="J208" s="566"/>
      <c r="K208" s="571">
        <v>200</v>
      </c>
      <c r="L208" s="460" t="s">
        <v>1188</v>
      </c>
      <c r="M208" s="463">
        <f t="shared" ref="M208:AB217" si="40">+IF($L208=M$10,IF($K208=M$11,1,0),0)</f>
        <v>0</v>
      </c>
      <c r="N208" s="463">
        <f t="shared" si="40"/>
        <v>0</v>
      </c>
      <c r="O208" s="463">
        <f t="shared" si="40"/>
        <v>1</v>
      </c>
      <c r="P208" s="463">
        <f t="shared" si="40"/>
        <v>0</v>
      </c>
      <c r="Q208" s="463">
        <f t="shared" si="40"/>
        <v>0</v>
      </c>
      <c r="R208" s="463">
        <f t="shared" si="40"/>
        <v>0</v>
      </c>
      <c r="S208" s="463">
        <f t="shared" si="40"/>
        <v>0</v>
      </c>
      <c r="T208" s="463">
        <f t="shared" si="40"/>
        <v>0</v>
      </c>
      <c r="U208" s="463">
        <f t="shared" si="40"/>
        <v>0</v>
      </c>
      <c r="V208" s="463">
        <f t="shared" si="40"/>
        <v>0</v>
      </c>
      <c r="W208" s="463">
        <f t="shared" si="40"/>
        <v>0</v>
      </c>
      <c r="X208" s="463">
        <f t="shared" si="37"/>
        <v>0</v>
      </c>
      <c r="Y208" s="463">
        <f t="shared" si="37"/>
        <v>0</v>
      </c>
      <c r="Z208" s="463">
        <f t="shared" si="37"/>
        <v>0</v>
      </c>
      <c r="AA208" s="463">
        <f t="shared" si="37"/>
        <v>0</v>
      </c>
      <c r="AB208" s="463">
        <f t="shared" si="37"/>
        <v>0</v>
      </c>
      <c r="AC208" s="463">
        <f t="shared" si="37"/>
        <v>0</v>
      </c>
      <c r="AD208" s="463">
        <f t="shared" si="37"/>
        <v>0</v>
      </c>
      <c r="AE208" s="463">
        <f t="shared" si="37"/>
        <v>0</v>
      </c>
      <c r="AF208" s="621">
        <f t="shared" si="37"/>
        <v>0</v>
      </c>
      <c r="AG208" s="573"/>
      <c r="AH208" s="464"/>
      <c r="AI208" s="464"/>
      <c r="AJ208" s="464"/>
      <c r="AK208" s="464"/>
      <c r="AL208" s="465">
        <f>+IF($I208=AL$10,IF($L208=AL$11,#REF!,0),0)</f>
        <v>0</v>
      </c>
      <c r="AM208" s="463">
        <f>+IF($I208=AM$10,IF($L208=AM$11,#REF!,0),0)</f>
        <v>0</v>
      </c>
      <c r="AN208" s="464">
        <f>+IF($I208=AN$10,IF($L208=AN$11,#REF!,0),0)</f>
        <v>0</v>
      </c>
      <c r="AO208" s="464">
        <f>+IF($I208=AO$10,IF($L208=AO$11,#REF!,0),0)</f>
        <v>0</v>
      </c>
      <c r="AP208" s="464">
        <f>+IF($I208=AP$10,IF($L208=AP$11,#REF!,0),0)</f>
        <v>0</v>
      </c>
      <c r="AQ208" s="464">
        <f>+IF($I208=AQ$10,IF($L208=AQ$11,#REF!,0),0)</f>
        <v>0</v>
      </c>
      <c r="AR208" s="465">
        <f>+IF($I208=AR$10,IF($L208=AR$11,#REF!,0),0)</f>
        <v>0</v>
      </c>
      <c r="AS208" s="463">
        <f>+IF($I208=AS$10,IF($L208=AS$11,#REF!,0),0)</f>
        <v>0</v>
      </c>
      <c r="AT208" s="464">
        <f>+IF($I208=AT$10,IF($L208=AT$11,#REF!,0),0)</f>
        <v>0</v>
      </c>
      <c r="AU208" s="464">
        <f>+IF($I208=AU$10,IF($L208=AU$11,#REF!,0),0)</f>
        <v>0</v>
      </c>
      <c r="AV208" s="464">
        <f>+IF($I208=AV$10,IF($L208=AV$11,#REF!,0),0)</f>
        <v>0</v>
      </c>
      <c r="AW208" s="464">
        <f>+IF($I208=AW$10,IF($L208=AW$11,#REF!,0),0)</f>
        <v>0</v>
      </c>
      <c r="AX208" s="465">
        <f>+IF($I208=AX$10,IF($L208=AX$11,#REF!,0),0)</f>
        <v>0</v>
      </c>
      <c r="AY208" s="463">
        <f>+IF($I208=AY$10,IF($L208=AY$11,#REF!,0),0)</f>
        <v>0</v>
      </c>
      <c r="AZ208" s="464">
        <f>+IF($I208=AZ$10,IF($L208=AZ$11,#REF!,0),0)</f>
        <v>0</v>
      </c>
      <c r="BA208" s="464">
        <f>+IF($I208=BA$10,IF($L208=BA$11,#REF!,0),0)</f>
        <v>0</v>
      </c>
      <c r="BB208" s="464">
        <f>+IF($I208=BB$10,IF($L208=BB$11,#REF!,0),0)</f>
        <v>0</v>
      </c>
      <c r="BC208" s="464">
        <f>+IF($I208=BC$10,IF($L208=BC$11,#REF!,0),0)</f>
        <v>0</v>
      </c>
      <c r="BD208" s="465">
        <f>+IF($I208=BD$10,IF($L208=BD$11,#REF!,0),0)</f>
        <v>0</v>
      </c>
      <c r="BE208" s="463">
        <f>+IF($I208=BE$10,IF($L208=BE$11,#REF!,0),0)</f>
        <v>0</v>
      </c>
      <c r="BF208" s="464">
        <f>+IF($I208=BF$10,IF($L208=BF$11,#REF!,0),0)</f>
        <v>0</v>
      </c>
      <c r="BG208" s="464">
        <f>+IF($I208=BG$10,IF($L208=BG$11,#REF!,0),0)</f>
        <v>0</v>
      </c>
      <c r="BH208" s="464">
        <f>+IF($I208=BH$10,IF($L208=BH$11,#REF!,0),0)</f>
        <v>0</v>
      </c>
      <c r="BI208" s="464">
        <f>+IF($I208=BI$10,IF($L208=BI$11,#REF!,0),0)</f>
        <v>0</v>
      </c>
      <c r="BJ208" s="466">
        <f>+IF($I208=BJ$10,IF($L208=BJ$11,#REF!,0),0)</f>
        <v>0</v>
      </c>
    </row>
    <row r="209" spans="5:62" s="467" customFormat="1" ht="16.5" hidden="1" customHeight="1">
      <c r="E209" s="454" t="s">
        <v>1217</v>
      </c>
      <c r="F209" s="455"/>
      <c r="G209" s="456"/>
      <c r="H209" s="457" t="str">
        <f t="shared" si="38"/>
        <v>-</v>
      </c>
      <c r="I209" s="458" t="s">
        <v>1197</v>
      </c>
      <c r="J209" s="566" t="s">
        <v>1198</v>
      </c>
      <c r="K209" s="571">
        <v>200</v>
      </c>
      <c r="L209" s="460" t="s">
        <v>1188</v>
      </c>
      <c r="M209" s="463">
        <f t="shared" si="40"/>
        <v>0</v>
      </c>
      <c r="N209" s="463">
        <f t="shared" si="40"/>
        <v>0</v>
      </c>
      <c r="O209" s="463">
        <f t="shared" si="40"/>
        <v>1</v>
      </c>
      <c r="P209" s="463">
        <f t="shared" si="40"/>
        <v>0</v>
      </c>
      <c r="Q209" s="463">
        <f t="shared" si="40"/>
        <v>0</v>
      </c>
      <c r="R209" s="463">
        <f t="shared" si="40"/>
        <v>0</v>
      </c>
      <c r="S209" s="463">
        <f t="shared" si="40"/>
        <v>0</v>
      </c>
      <c r="T209" s="463">
        <f t="shared" si="40"/>
        <v>0</v>
      </c>
      <c r="U209" s="463">
        <f t="shared" si="40"/>
        <v>0</v>
      </c>
      <c r="V209" s="463">
        <f t="shared" si="40"/>
        <v>0</v>
      </c>
      <c r="W209" s="463">
        <f t="shared" si="40"/>
        <v>0</v>
      </c>
      <c r="X209" s="463">
        <f t="shared" si="37"/>
        <v>0</v>
      </c>
      <c r="Y209" s="463">
        <f t="shared" si="37"/>
        <v>0</v>
      </c>
      <c r="Z209" s="463">
        <f t="shared" si="37"/>
        <v>0</v>
      </c>
      <c r="AA209" s="463">
        <f t="shared" si="37"/>
        <v>0</v>
      </c>
      <c r="AB209" s="463">
        <f t="shared" si="37"/>
        <v>0</v>
      </c>
      <c r="AC209" s="463">
        <f t="shared" si="37"/>
        <v>0</v>
      </c>
      <c r="AD209" s="463">
        <f t="shared" si="37"/>
        <v>0</v>
      </c>
      <c r="AE209" s="463">
        <f t="shared" si="37"/>
        <v>0</v>
      </c>
      <c r="AF209" s="621">
        <f t="shared" si="37"/>
        <v>0</v>
      </c>
      <c r="AG209" s="573"/>
      <c r="AH209" s="464"/>
      <c r="AI209" s="464"/>
      <c r="AJ209" s="464"/>
      <c r="AK209" s="464"/>
      <c r="AL209" s="465">
        <f>+IF($I209=AL$10,IF($L209=AL$11,#REF!,0),0)</f>
        <v>0</v>
      </c>
      <c r="AM209" s="463">
        <f>+IF($I209=AM$10,IF($L209=AM$11,#REF!,0),0)</f>
        <v>0</v>
      </c>
      <c r="AN209" s="464">
        <f>+IF($I209=AN$10,IF($L209=AN$11,#REF!,0),0)</f>
        <v>0</v>
      </c>
      <c r="AO209" s="464">
        <f>+IF($I209=AO$10,IF($L209=AO$11,#REF!,0),0)</f>
        <v>0</v>
      </c>
      <c r="AP209" s="464">
        <f>+IF($I209=AP$10,IF($L209=AP$11,#REF!,0),0)</f>
        <v>0</v>
      </c>
      <c r="AQ209" s="464">
        <f>+IF($I209=AQ$10,IF($L209=AQ$11,#REF!,0),0)</f>
        <v>0</v>
      </c>
      <c r="AR209" s="465">
        <f>+IF($I209=AR$10,IF($L209=AR$11,#REF!,0),0)</f>
        <v>0</v>
      </c>
      <c r="AS209" s="463">
        <f>+IF($I209=AS$10,IF($L209=AS$11,#REF!,0),0)</f>
        <v>0</v>
      </c>
      <c r="AT209" s="464">
        <f>+IF($I209=AT$10,IF($L209=AT$11,#REF!,0),0)</f>
        <v>0</v>
      </c>
      <c r="AU209" s="464">
        <f>+IF($I209=AU$10,IF($L209=AU$11,#REF!,0),0)</f>
        <v>0</v>
      </c>
      <c r="AV209" s="464">
        <f>+IF($I209=AV$10,IF($L209=AV$11,#REF!,0),0)</f>
        <v>0</v>
      </c>
      <c r="AW209" s="464">
        <f>+IF($I209=AW$10,IF($L209=AW$11,#REF!,0),0)</f>
        <v>0</v>
      </c>
      <c r="AX209" s="465">
        <f>+IF($I209=AX$10,IF($L209=AX$11,#REF!,0),0)</f>
        <v>0</v>
      </c>
      <c r="AY209" s="463">
        <f>+IF($I209=AY$10,IF($L209=AY$11,#REF!,0),0)</f>
        <v>0</v>
      </c>
      <c r="AZ209" s="464">
        <f>+IF($I209=AZ$10,IF($L209=AZ$11,#REF!,0),0)</f>
        <v>0</v>
      </c>
      <c r="BA209" s="464">
        <f>+IF($I209=BA$10,IF($L209=BA$11,#REF!,0),0)</f>
        <v>0</v>
      </c>
      <c r="BB209" s="464">
        <f>+IF($I209=BB$10,IF($L209=BB$11,#REF!,0),0)</f>
        <v>0</v>
      </c>
      <c r="BC209" s="464">
        <f>+IF($I209=BC$10,IF($L209=BC$11,#REF!,0),0)</f>
        <v>0</v>
      </c>
      <c r="BD209" s="465">
        <f>+IF($I209=BD$10,IF($L209=BD$11,#REF!,0),0)</f>
        <v>0</v>
      </c>
      <c r="BE209" s="463">
        <f>+IF($I209=BE$10,IF($L209=BE$11,#REF!,0),0)</f>
        <v>0</v>
      </c>
      <c r="BF209" s="464">
        <f>+IF($I209=BF$10,IF($L209=BF$11,#REF!,0),0)</f>
        <v>0</v>
      </c>
      <c r="BG209" s="464">
        <f>+IF($I209=BG$10,IF($L209=BG$11,#REF!,0),0)</f>
        <v>0</v>
      </c>
      <c r="BH209" s="464">
        <f>+IF($I209=BH$10,IF($L209=BH$11,#REF!,0),0)</f>
        <v>0</v>
      </c>
      <c r="BI209" s="464">
        <f>+IF($I209=BI$10,IF($L209=BI$11,#REF!,0),0)</f>
        <v>0</v>
      </c>
      <c r="BJ209" s="466">
        <f>+IF($I209=BJ$10,IF($L209=BJ$11,#REF!,0),0)</f>
        <v>0</v>
      </c>
    </row>
    <row r="210" spans="5:62" s="467" customFormat="1" ht="16.5" hidden="1" customHeight="1">
      <c r="E210" s="454" t="s">
        <v>1217</v>
      </c>
      <c r="F210" s="455"/>
      <c r="G210" s="456"/>
      <c r="H210" s="457" t="str">
        <f t="shared" si="38"/>
        <v>-</v>
      </c>
      <c r="I210" s="458" t="s">
        <v>1193</v>
      </c>
      <c r="J210" s="566" t="s">
        <v>1196</v>
      </c>
      <c r="K210" s="571">
        <v>200</v>
      </c>
      <c r="L210" s="460" t="s">
        <v>1188</v>
      </c>
      <c r="M210" s="463">
        <f t="shared" si="40"/>
        <v>0</v>
      </c>
      <c r="N210" s="463">
        <f t="shared" si="40"/>
        <v>0</v>
      </c>
      <c r="O210" s="463">
        <f t="shared" si="40"/>
        <v>1</v>
      </c>
      <c r="P210" s="463">
        <f t="shared" si="40"/>
        <v>0</v>
      </c>
      <c r="Q210" s="463">
        <f t="shared" si="40"/>
        <v>0</v>
      </c>
      <c r="R210" s="463">
        <f t="shared" si="40"/>
        <v>0</v>
      </c>
      <c r="S210" s="463">
        <f t="shared" si="40"/>
        <v>0</v>
      </c>
      <c r="T210" s="463">
        <f t="shared" si="40"/>
        <v>0</v>
      </c>
      <c r="U210" s="463">
        <f t="shared" si="40"/>
        <v>0</v>
      </c>
      <c r="V210" s="463">
        <f t="shared" si="40"/>
        <v>0</v>
      </c>
      <c r="W210" s="463">
        <f t="shared" si="40"/>
        <v>0</v>
      </c>
      <c r="X210" s="463">
        <f t="shared" si="37"/>
        <v>0</v>
      </c>
      <c r="Y210" s="463">
        <f t="shared" si="37"/>
        <v>0</v>
      </c>
      <c r="Z210" s="463">
        <f t="shared" si="37"/>
        <v>0</v>
      </c>
      <c r="AA210" s="463">
        <f t="shared" si="37"/>
        <v>0</v>
      </c>
      <c r="AB210" s="463">
        <f t="shared" si="37"/>
        <v>0</v>
      </c>
      <c r="AC210" s="463">
        <f t="shared" si="37"/>
        <v>0</v>
      </c>
      <c r="AD210" s="463">
        <f t="shared" si="37"/>
        <v>0</v>
      </c>
      <c r="AE210" s="463">
        <f t="shared" si="37"/>
        <v>0</v>
      </c>
      <c r="AF210" s="621">
        <f t="shared" si="37"/>
        <v>0</v>
      </c>
      <c r="AG210" s="573"/>
      <c r="AH210" s="464"/>
      <c r="AI210" s="464"/>
      <c r="AJ210" s="464"/>
      <c r="AK210" s="464"/>
      <c r="AL210" s="465">
        <f>+IF($I210=AL$10,IF($L210=AL$11,#REF!,0),0)</f>
        <v>0</v>
      </c>
      <c r="AM210" s="463">
        <f>+IF($I210=AM$10,IF($L210=AM$11,#REF!,0),0)</f>
        <v>0</v>
      </c>
      <c r="AN210" s="464">
        <f>+IF($I210=AN$10,IF($L210=AN$11,#REF!,0),0)</f>
        <v>0</v>
      </c>
      <c r="AO210" s="464">
        <f>+IF($I210=AO$10,IF($L210=AO$11,#REF!,0),0)</f>
        <v>0</v>
      </c>
      <c r="AP210" s="464">
        <v>1</v>
      </c>
      <c r="AQ210" s="464">
        <f>+IF($I210=AQ$10,IF($L210=AQ$11,#REF!,0),0)</f>
        <v>0</v>
      </c>
      <c r="AR210" s="465">
        <f>+IF($I210=AR$10,IF($L210=AR$11,#REF!,0),0)</f>
        <v>0</v>
      </c>
      <c r="AS210" s="463">
        <f>+IF($I210=AS$10,IF($L210=AS$11,#REF!,0),0)</f>
        <v>0</v>
      </c>
      <c r="AT210" s="464">
        <f>+IF($I210=AT$10,IF($L210=AT$11,#REF!,0),0)</f>
        <v>0</v>
      </c>
      <c r="AU210" s="464">
        <f>+IF($I210=AU$10,IF($L210=AU$11,#REF!,0),0)</f>
        <v>0</v>
      </c>
      <c r="AV210" s="464">
        <f>+IF($I210=AV$10,IF($L210=AV$11,#REF!,0),0)</f>
        <v>0</v>
      </c>
      <c r="AW210" s="464">
        <f>+IF($I210=AW$10,IF($L210=AW$11,#REF!,0),0)</f>
        <v>0</v>
      </c>
      <c r="AX210" s="465">
        <f>+IF($I210=AX$10,IF($L210=AX$11,#REF!,0),0)</f>
        <v>0</v>
      </c>
      <c r="AY210" s="463">
        <f>+IF($I210=AY$10,IF($L210=AY$11,#REF!,0),0)</f>
        <v>0</v>
      </c>
      <c r="AZ210" s="464">
        <f>+IF($I210=AZ$10,IF($L210=AZ$11,#REF!,0),0)</f>
        <v>0</v>
      </c>
      <c r="BA210" s="464">
        <f>+IF($I210=BA$10,IF($L210=BA$11,#REF!,0),0)</f>
        <v>0</v>
      </c>
      <c r="BB210" s="464">
        <f>+IF($I210=BB$10,IF($L210=BB$11,#REF!,0),0)</f>
        <v>0</v>
      </c>
      <c r="BC210" s="464">
        <f>+IF($I210=BC$10,IF($L210=BC$11,#REF!,0),0)</f>
        <v>0</v>
      </c>
      <c r="BD210" s="465">
        <f>+IF($I210=BD$10,IF($L210=BD$11,#REF!,0),0)</f>
        <v>0</v>
      </c>
      <c r="BE210" s="463">
        <f>+IF($I210=BE$10,IF($L210=BE$11,#REF!,0),0)</f>
        <v>0</v>
      </c>
      <c r="BF210" s="464">
        <f>+IF($I210=BF$10,IF($L210=BF$11,#REF!,0),0)</f>
        <v>0</v>
      </c>
      <c r="BG210" s="464">
        <f>+IF($I210=BG$10,IF($L210=BG$11,#REF!,0),0)</f>
        <v>0</v>
      </c>
      <c r="BH210" s="464">
        <f>+IF($I210=BH$10,IF($L210=BH$11,#REF!,0),0)</f>
        <v>0</v>
      </c>
      <c r="BI210" s="464">
        <f>+IF($I210=BI$10,IF($L210=BI$11,#REF!,0),0)</f>
        <v>0</v>
      </c>
      <c r="BJ210" s="466">
        <f>+IF($I210=BJ$10,IF($L210=BJ$11,#REF!,0),0)</f>
        <v>0</v>
      </c>
    </row>
    <row r="211" spans="5:62" s="467" customFormat="1" ht="16.5" hidden="1" customHeight="1">
      <c r="E211" s="454" t="s">
        <v>1217</v>
      </c>
      <c r="F211" s="455"/>
      <c r="G211" s="456"/>
      <c r="H211" s="457" t="str">
        <f t="shared" si="38"/>
        <v>-</v>
      </c>
      <c r="I211" s="458" t="s">
        <v>1194</v>
      </c>
      <c r="J211" s="566"/>
      <c r="K211" s="571">
        <v>150</v>
      </c>
      <c r="L211" s="460" t="s">
        <v>1188</v>
      </c>
      <c r="M211" s="463">
        <f t="shared" si="40"/>
        <v>0</v>
      </c>
      <c r="N211" s="463">
        <f t="shared" si="40"/>
        <v>1</v>
      </c>
      <c r="O211" s="463">
        <f t="shared" si="40"/>
        <v>0</v>
      </c>
      <c r="P211" s="463">
        <f t="shared" si="40"/>
        <v>0</v>
      </c>
      <c r="Q211" s="463">
        <f t="shared" si="40"/>
        <v>0</v>
      </c>
      <c r="R211" s="463">
        <f t="shared" si="40"/>
        <v>0</v>
      </c>
      <c r="S211" s="463">
        <f t="shared" si="40"/>
        <v>0</v>
      </c>
      <c r="T211" s="463">
        <f t="shared" si="40"/>
        <v>0</v>
      </c>
      <c r="U211" s="463">
        <f t="shared" si="40"/>
        <v>0</v>
      </c>
      <c r="V211" s="463">
        <f t="shared" si="40"/>
        <v>0</v>
      </c>
      <c r="W211" s="463">
        <f t="shared" si="40"/>
        <v>0</v>
      </c>
      <c r="X211" s="463">
        <f t="shared" si="37"/>
        <v>0</v>
      </c>
      <c r="Y211" s="463">
        <f t="shared" si="37"/>
        <v>0</v>
      </c>
      <c r="Z211" s="463">
        <f t="shared" si="37"/>
        <v>0</v>
      </c>
      <c r="AA211" s="463">
        <f t="shared" si="37"/>
        <v>0</v>
      </c>
      <c r="AB211" s="463">
        <f t="shared" si="37"/>
        <v>0</v>
      </c>
      <c r="AC211" s="463">
        <f t="shared" si="37"/>
        <v>0</v>
      </c>
      <c r="AD211" s="463">
        <f t="shared" si="37"/>
        <v>0</v>
      </c>
      <c r="AE211" s="463">
        <f t="shared" si="37"/>
        <v>0</v>
      </c>
      <c r="AF211" s="621">
        <f t="shared" si="37"/>
        <v>0</v>
      </c>
      <c r="AG211" s="573"/>
      <c r="AH211" s="464"/>
      <c r="AI211" s="464"/>
      <c r="AJ211" s="464"/>
      <c r="AK211" s="464"/>
      <c r="AL211" s="465">
        <f>+IF($I211=AL$10,IF($L211=AL$11,#REF!,0),0)</f>
        <v>0</v>
      </c>
      <c r="AM211" s="463">
        <f>+IF($I211=AM$10,IF($L211=AM$11,#REF!,0),0)</f>
        <v>0</v>
      </c>
      <c r="AN211" s="464">
        <f>+IF($I211=AN$10,IF($L211=AN$11,#REF!,0),0)</f>
        <v>0</v>
      </c>
      <c r="AO211" s="464">
        <f>+IF($I211=AO$10,IF($L211=AO$11,#REF!,0),0)</f>
        <v>0</v>
      </c>
      <c r="AP211" s="464">
        <f>+IF($I211=AP$10,IF($L211=AP$11,#REF!,0),0)</f>
        <v>0</v>
      </c>
      <c r="AQ211" s="464">
        <f>+IF($I211=AQ$10,IF($L211=AQ$11,#REF!,0),0)</f>
        <v>0</v>
      </c>
      <c r="AR211" s="465">
        <f>+IF($I211=AR$10,IF($L211=AR$11,#REF!,0),0)</f>
        <v>0</v>
      </c>
      <c r="AS211" s="463">
        <f>+IF($I211=AS$10,IF($L211=AS$11,#REF!,0),0)</f>
        <v>0</v>
      </c>
      <c r="AT211" s="464">
        <f>+IF($I211=AT$10,IF($L211=AT$11,#REF!,0),0)</f>
        <v>0</v>
      </c>
      <c r="AU211" s="464">
        <f>+IF($I211=AU$10,IF($L211=AU$11,#REF!,0),0)</f>
        <v>0</v>
      </c>
      <c r="AV211" s="464">
        <v>1</v>
      </c>
      <c r="AW211" s="464">
        <f>+IF($I211=AW$10,IF($L211=AW$11,#REF!,0),0)</f>
        <v>0</v>
      </c>
      <c r="AX211" s="465">
        <f>+IF($I211=AX$10,IF($L211=AX$11,#REF!,0),0)</f>
        <v>0</v>
      </c>
      <c r="AY211" s="463">
        <f>+IF($I211=AY$10,IF($L211=AY$11,#REF!,0),0)</f>
        <v>0</v>
      </c>
      <c r="AZ211" s="464">
        <f>+IF($I211=AZ$10,IF($L211=AZ$11,#REF!,0),0)</f>
        <v>0</v>
      </c>
      <c r="BA211" s="464">
        <f>+IF($I211=BA$10,IF($L211=BA$11,#REF!,0),0)</f>
        <v>0</v>
      </c>
      <c r="BB211" s="464">
        <f>+IF($I211=BB$10,IF($L211=BB$11,#REF!,0),0)</f>
        <v>0</v>
      </c>
      <c r="BC211" s="464">
        <f>+IF($I211=BC$10,IF($L211=BC$11,#REF!,0),0)</f>
        <v>0</v>
      </c>
      <c r="BD211" s="465">
        <f>+IF($I211=BD$10,IF($L211=BD$11,#REF!,0),0)</f>
        <v>0</v>
      </c>
      <c r="BE211" s="463">
        <f>+IF($I211=BE$10,IF($L211=BE$11,#REF!,0),0)</f>
        <v>0</v>
      </c>
      <c r="BF211" s="464">
        <f>+IF($I211=BF$10,IF($L211=BF$11,#REF!,0),0)</f>
        <v>0</v>
      </c>
      <c r="BG211" s="464">
        <f>+IF($I211=BG$10,IF($L211=BG$11,#REF!,0),0)</f>
        <v>0</v>
      </c>
      <c r="BH211" s="464">
        <f>+IF($I211=BH$10,IF($L211=BH$11,#REF!,0),0)</f>
        <v>0</v>
      </c>
      <c r="BI211" s="464">
        <f>+IF($I211=BI$10,IF($L211=BI$11,#REF!,0),0)</f>
        <v>0</v>
      </c>
      <c r="BJ211" s="466">
        <f>+IF($I211=BJ$10,IF($L211=BJ$11,#REF!,0),0)</f>
        <v>0</v>
      </c>
    </row>
    <row r="212" spans="5:62" s="467" customFormat="1" ht="16.5" hidden="1" customHeight="1">
      <c r="E212" s="454" t="s">
        <v>1217</v>
      </c>
      <c r="F212" s="455"/>
      <c r="G212" s="456"/>
      <c r="H212" s="457" t="str">
        <f t="shared" si="38"/>
        <v>-</v>
      </c>
      <c r="I212" s="458" t="s">
        <v>1194</v>
      </c>
      <c r="J212" s="566"/>
      <c r="K212" s="571">
        <v>150</v>
      </c>
      <c r="L212" s="460" t="s">
        <v>1188</v>
      </c>
      <c r="M212" s="463">
        <f t="shared" si="40"/>
        <v>0</v>
      </c>
      <c r="N212" s="463">
        <f t="shared" si="40"/>
        <v>1</v>
      </c>
      <c r="O212" s="463">
        <f t="shared" si="40"/>
        <v>0</v>
      </c>
      <c r="P212" s="463">
        <f t="shared" si="40"/>
        <v>0</v>
      </c>
      <c r="Q212" s="463">
        <f t="shared" si="40"/>
        <v>0</v>
      </c>
      <c r="R212" s="463">
        <f t="shared" si="40"/>
        <v>0</v>
      </c>
      <c r="S212" s="463">
        <f t="shared" si="40"/>
        <v>0</v>
      </c>
      <c r="T212" s="463">
        <f t="shared" si="40"/>
        <v>0</v>
      </c>
      <c r="U212" s="463">
        <f t="shared" si="40"/>
        <v>0</v>
      </c>
      <c r="V212" s="463">
        <f t="shared" si="40"/>
        <v>0</v>
      </c>
      <c r="W212" s="463">
        <f t="shared" si="40"/>
        <v>0</v>
      </c>
      <c r="X212" s="463">
        <f t="shared" si="37"/>
        <v>0</v>
      </c>
      <c r="Y212" s="463">
        <f t="shared" si="37"/>
        <v>0</v>
      </c>
      <c r="Z212" s="463">
        <f t="shared" si="37"/>
        <v>0</v>
      </c>
      <c r="AA212" s="463">
        <f t="shared" si="37"/>
        <v>0</v>
      </c>
      <c r="AB212" s="463">
        <f t="shared" si="37"/>
        <v>0</v>
      </c>
      <c r="AC212" s="463">
        <f t="shared" si="37"/>
        <v>0</v>
      </c>
      <c r="AD212" s="463">
        <f t="shared" si="37"/>
        <v>0</v>
      </c>
      <c r="AE212" s="463">
        <f t="shared" si="37"/>
        <v>0</v>
      </c>
      <c r="AF212" s="621">
        <f t="shared" si="37"/>
        <v>0</v>
      </c>
      <c r="AG212" s="573"/>
      <c r="AH212" s="464"/>
      <c r="AI212" s="464"/>
      <c r="AJ212" s="464"/>
      <c r="AK212" s="464"/>
      <c r="AL212" s="465">
        <f>+IF($I212=AL$10,IF($L212=AL$11,#REF!,0),0)</f>
        <v>0</v>
      </c>
      <c r="AM212" s="463">
        <f>+IF($I212=AM$10,IF($L212=AM$11,#REF!,0),0)</f>
        <v>0</v>
      </c>
      <c r="AN212" s="464">
        <f>+IF($I212=AN$10,IF($L212=AN$11,#REF!,0),0)</f>
        <v>0</v>
      </c>
      <c r="AO212" s="464">
        <f>+IF($I212=AO$10,IF($L212=AO$11,#REF!,0),0)</f>
        <v>0</v>
      </c>
      <c r="AP212" s="464">
        <f>+IF($I212=AP$10,IF($L212=AP$11,#REF!,0),0)</f>
        <v>0</v>
      </c>
      <c r="AQ212" s="464">
        <f>+IF($I212=AQ$10,IF($L212=AQ$11,#REF!,0),0)</f>
        <v>0</v>
      </c>
      <c r="AR212" s="465">
        <f>+IF($I212=AR$10,IF($L212=AR$11,#REF!,0),0)</f>
        <v>0</v>
      </c>
      <c r="AS212" s="463">
        <f>+IF($I212=AS$10,IF($L212=AS$11,#REF!,0),0)</f>
        <v>0</v>
      </c>
      <c r="AT212" s="464">
        <f>+IF($I212=AT$10,IF($L212=AT$11,#REF!,0),0)</f>
        <v>0</v>
      </c>
      <c r="AU212" s="464">
        <f>+IF($I212=AU$10,IF($L212=AU$11,#REF!,0),0)</f>
        <v>0</v>
      </c>
      <c r="AV212" s="464">
        <f>+IF($I212=AV$10,IF($L212=AV$11,#REF!,0),0)</f>
        <v>0</v>
      </c>
      <c r="AW212" s="464">
        <f>+IF($I212=AW$10,IF($L212=AW$11,#REF!,0),0)</f>
        <v>0</v>
      </c>
      <c r="AX212" s="465">
        <f>+IF($I212=AX$10,IF($L212=AX$11,#REF!,0),0)</f>
        <v>0</v>
      </c>
      <c r="AY212" s="463">
        <v>1</v>
      </c>
      <c r="AZ212" s="464">
        <f>+IF($I212=AZ$10,IF($L212=AZ$11,#REF!,0),0)</f>
        <v>0</v>
      </c>
      <c r="BA212" s="464">
        <f>+IF($I212=BA$10,IF($L212=BA$11,#REF!,0),0)</f>
        <v>0</v>
      </c>
      <c r="BB212" s="464">
        <f>+IF($I212=BB$10,IF($L212=BB$11,#REF!,0),0)</f>
        <v>0</v>
      </c>
      <c r="BC212" s="464">
        <f>+IF($I212=BC$10,IF($L212=BC$11,#REF!,0),0)</f>
        <v>0</v>
      </c>
      <c r="BD212" s="465">
        <f>+IF($I212=BD$10,IF($L212=BD$11,#REF!,0),0)</f>
        <v>0</v>
      </c>
      <c r="BE212" s="463">
        <f>+IF($I212=BE$10,IF($L212=BE$11,#REF!,0),0)</f>
        <v>0</v>
      </c>
      <c r="BF212" s="464">
        <f>+IF($I212=BF$10,IF($L212=BF$11,#REF!,0),0)</f>
        <v>0</v>
      </c>
      <c r="BG212" s="464">
        <f>+IF($I212=BG$10,IF($L212=BG$11,#REF!,0),0)</f>
        <v>0</v>
      </c>
      <c r="BH212" s="464">
        <f>+IF($I212=BH$10,IF($L212=BH$11,#REF!,0),0)</f>
        <v>0</v>
      </c>
      <c r="BI212" s="464">
        <f>+IF($I212=BI$10,IF($L212=BI$11,#REF!,0),0)</f>
        <v>0</v>
      </c>
      <c r="BJ212" s="466">
        <f>+IF($I212=BJ$10,IF($L212=BJ$11,#REF!,0),0)</f>
        <v>0</v>
      </c>
    </row>
    <row r="213" spans="5:62" s="467" customFormat="1" ht="16.5" hidden="1" customHeight="1">
      <c r="E213" s="454" t="s">
        <v>1217</v>
      </c>
      <c r="F213" s="455"/>
      <c r="G213" s="456"/>
      <c r="H213" s="457" t="str">
        <f t="shared" si="38"/>
        <v>-</v>
      </c>
      <c r="I213" s="458" t="s">
        <v>1194</v>
      </c>
      <c r="J213" s="566"/>
      <c r="K213" s="571">
        <v>150</v>
      </c>
      <c r="L213" s="460" t="s">
        <v>1188</v>
      </c>
      <c r="M213" s="463">
        <f t="shared" si="40"/>
        <v>0</v>
      </c>
      <c r="N213" s="463">
        <f t="shared" si="40"/>
        <v>1</v>
      </c>
      <c r="O213" s="463">
        <f t="shared" si="40"/>
        <v>0</v>
      </c>
      <c r="P213" s="463">
        <f t="shared" si="40"/>
        <v>0</v>
      </c>
      <c r="Q213" s="463">
        <f t="shared" si="40"/>
        <v>0</v>
      </c>
      <c r="R213" s="463">
        <f t="shared" si="40"/>
        <v>0</v>
      </c>
      <c r="S213" s="463">
        <f t="shared" si="40"/>
        <v>0</v>
      </c>
      <c r="T213" s="463">
        <f t="shared" si="40"/>
        <v>0</v>
      </c>
      <c r="U213" s="463">
        <f t="shared" si="40"/>
        <v>0</v>
      </c>
      <c r="V213" s="463">
        <f t="shared" si="40"/>
        <v>0</v>
      </c>
      <c r="W213" s="463">
        <f t="shared" si="40"/>
        <v>0</v>
      </c>
      <c r="X213" s="463">
        <f t="shared" si="37"/>
        <v>0</v>
      </c>
      <c r="Y213" s="463">
        <f t="shared" si="37"/>
        <v>0</v>
      </c>
      <c r="Z213" s="463">
        <f t="shared" si="37"/>
        <v>0</v>
      </c>
      <c r="AA213" s="463">
        <f t="shared" si="37"/>
        <v>0</v>
      </c>
      <c r="AB213" s="463">
        <f t="shared" si="37"/>
        <v>0</v>
      </c>
      <c r="AC213" s="463">
        <f t="shared" si="37"/>
        <v>0</v>
      </c>
      <c r="AD213" s="463">
        <f t="shared" si="37"/>
        <v>0</v>
      </c>
      <c r="AE213" s="463">
        <f t="shared" si="37"/>
        <v>0</v>
      </c>
      <c r="AF213" s="621">
        <f t="shared" si="37"/>
        <v>0</v>
      </c>
      <c r="AG213" s="573"/>
      <c r="AH213" s="464"/>
      <c r="AI213" s="464"/>
      <c r="AJ213" s="464"/>
      <c r="AK213" s="464"/>
      <c r="AL213" s="465">
        <f>+IF($I213=AL$10,IF($L213=AL$11,#REF!,0),0)</f>
        <v>0</v>
      </c>
      <c r="AM213" s="463">
        <f>+IF($I213=AM$10,IF($L213=AM$11,#REF!,0),0)</f>
        <v>0</v>
      </c>
      <c r="AN213" s="464">
        <f>+IF($I213=AN$10,IF($L213=AN$11,#REF!,0),0)</f>
        <v>0</v>
      </c>
      <c r="AO213" s="464">
        <f>+IF($I213=AO$10,IF($L213=AO$11,#REF!,0),0)</f>
        <v>0</v>
      </c>
      <c r="AP213" s="464">
        <f>+IF($I213=AP$10,IF($L213=AP$11,#REF!,0),0)</f>
        <v>0</v>
      </c>
      <c r="AQ213" s="464">
        <f>+IF($I213=AQ$10,IF($L213=AQ$11,#REF!,0),0)</f>
        <v>0</v>
      </c>
      <c r="AR213" s="465">
        <f>+IF($I213=AR$10,IF($L213=AR$11,#REF!,0),0)</f>
        <v>0</v>
      </c>
      <c r="AS213" s="463">
        <f>+IF($I213=AS$10,IF($L213=AS$11,#REF!,0),0)</f>
        <v>0</v>
      </c>
      <c r="AT213" s="464">
        <f>+IF($I213=AT$10,IF($L213=AT$11,#REF!,0),0)</f>
        <v>0</v>
      </c>
      <c r="AU213" s="464">
        <f>+IF($I213=AU$10,IF($L213=AU$11,#REF!,0),0)</f>
        <v>0</v>
      </c>
      <c r="AV213" s="464">
        <f>+IF($I213=AV$10,IF($L213=AV$11,#REF!,0),0)</f>
        <v>0</v>
      </c>
      <c r="AW213" s="464">
        <f>+IF($I213=AW$10,IF($L213=AW$11,#REF!,0),0)</f>
        <v>0</v>
      </c>
      <c r="AX213" s="465">
        <f>+IF($I213=AX$10,IF($L213=AX$11,#REF!,0),0)</f>
        <v>0</v>
      </c>
      <c r="AY213" s="463">
        <f>+IF($I213=AY$10,IF($L213=AY$11,#REF!,0),0)</f>
        <v>0</v>
      </c>
      <c r="AZ213" s="464">
        <f>+IF($I213=AZ$10,IF($L213=AZ$11,#REF!,0),0)</f>
        <v>0</v>
      </c>
      <c r="BA213" s="464">
        <v>1</v>
      </c>
      <c r="BB213" s="464">
        <f>+IF($I213=BB$10,IF($L213=BB$11,#REF!,0),0)</f>
        <v>0</v>
      </c>
      <c r="BC213" s="464">
        <f>+IF($I213=BC$10,IF($L213=BC$11,#REF!,0),0)</f>
        <v>0</v>
      </c>
      <c r="BD213" s="465">
        <f>+IF($I213=BD$10,IF($L213=BD$11,#REF!,0),0)</f>
        <v>0</v>
      </c>
      <c r="BE213" s="463">
        <f>+IF($I213=BE$10,IF($L213=BE$11,#REF!,0),0)</f>
        <v>0</v>
      </c>
      <c r="BF213" s="464">
        <f>+IF($I213=BF$10,IF($L213=BF$11,#REF!,0),0)</f>
        <v>0</v>
      </c>
      <c r="BG213" s="464">
        <f>+IF($I213=BG$10,IF($L213=BG$11,#REF!,0),0)</f>
        <v>0</v>
      </c>
      <c r="BH213" s="464">
        <f>+IF($I213=BH$10,IF($L213=BH$11,#REF!,0),0)</f>
        <v>0</v>
      </c>
      <c r="BI213" s="464">
        <f>+IF($I213=BI$10,IF($L213=BI$11,#REF!,0),0)</f>
        <v>0</v>
      </c>
      <c r="BJ213" s="466">
        <f>+IF($I213=BJ$10,IF($L213=BJ$11,#REF!,0),0)</f>
        <v>0</v>
      </c>
    </row>
    <row r="214" spans="5:62" s="467" customFormat="1" ht="16.5" hidden="1" customHeight="1">
      <c r="E214" s="454" t="s">
        <v>1217</v>
      </c>
      <c r="F214" s="455"/>
      <c r="G214" s="456"/>
      <c r="H214" s="457" t="str">
        <f t="shared" si="38"/>
        <v>-</v>
      </c>
      <c r="I214" s="458" t="s">
        <v>1197</v>
      </c>
      <c r="J214" s="566" t="s">
        <v>1198</v>
      </c>
      <c r="K214" s="571">
        <v>200</v>
      </c>
      <c r="L214" s="460" t="s">
        <v>1188</v>
      </c>
      <c r="M214" s="463">
        <f t="shared" si="40"/>
        <v>0</v>
      </c>
      <c r="N214" s="463">
        <f t="shared" si="40"/>
        <v>0</v>
      </c>
      <c r="O214" s="463">
        <f t="shared" si="40"/>
        <v>1</v>
      </c>
      <c r="P214" s="463">
        <f t="shared" si="40"/>
        <v>0</v>
      </c>
      <c r="Q214" s="463">
        <f t="shared" si="40"/>
        <v>0</v>
      </c>
      <c r="R214" s="463">
        <f t="shared" si="40"/>
        <v>0</v>
      </c>
      <c r="S214" s="463">
        <f t="shared" si="40"/>
        <v>0</v>
      </c>
      <c r="T214" s="463">
        <f t="shared" si="40"/>
        <v>0</v>
      </c>
      <c r="U214" s="463">
        <f t="shared" si="40"/>
        <v>0</v>
      </c>
      <c r="V214" s="463">
        <f t="shared" si="40"/>
        <v>0</v>
      </c>
      <c r="W214" s="463">
        <f t="shared" si="40"/>
        <v>0</v>
      </c>
      <c r="X214" s="463">
        <f t="shared" si="37"/>
        <v>0</v>
      </c>
      <c r="Y214" s="463">
        <f t="shared" si="37"/>
        <v>0</v>
      </c>
      <c r="Z214" s="463">
        <f t="shared" si="37"/>
        <v>0</v>
      </c>
      <c r="AA214" s="463">
        <f t="shared" si="37"/>
        <v>0</v>
      </c>
      <c r="AB214" s="463">
        <f t="shared" si="37"/>
        <v>0</v>
      </c>
      <c r="AC214" s="463">
        <f t="shared" si="37"/>
        <v>0</v>
      </c>
      <c r="AD214" s="463">
        <f t="shared" si="37"/>
        <v>0</v>
      </c>
      <c r="AE214" s="463">
        <f t="shared" si="37"/>
        <v>0</v>
      </c>
      <c r="AF214" s="621">
        <f t="shared" si="37"/>
        <v>0</v>
      </c>
      <c r="AG214" s="573"/>
      <c r="AH214" s="464"/>
      <c r="AI214" s="464"/>
      <c r="AJ214" s="464"/>
      <c r="AK214" s="464"/>
      <c r="AL214" s="465">
        <f>+IF($I214=AL$10,IF($L214=AL$11,#REF!,0),0)</f>
        <v>0</v>
      </c>
      <c r="AM214" s="463">
        <f>+IF($I214=AM$10,IF($L214=AM$11,#REF!,0),0)</f>
        <v>0</v>
      </c>
      <c r="AN214" s="464">
        <f>+IF($I214=AN$10,IF($L214=AN$11,#REF!,0),0)</f>
        <v>0</v>
      </c>
      <c r="AO214" s="464">
        <f>+IF($I214=AO$10,IF($L214=AO$11,#REF!,0),0)</f>
        <v>0</v>
      </c>
      <c r="AP214" s="464">
        <f>+IF($I214=AP$10,IF($L214=AP$11,#REF!,0),0)</f>
        <v>0</v>
      </c>
      <c r="AQ214" s="464">
        <f>+IF($I214=AQ$10,IF($L214=AQ$11,#REF!,0),0)</f>
        <v>0</v>
      </c>
      <c r="AR214" s="465">
        <f>+IF($I214=AR$10,IF($L214=AR$11,#REF!,0),0)</f>
        <v>0</v>
      </c>
      <c r="AS214" s="463">
        <f>+IF($I214=AS$10,IF($L214=AS$11,#REF!,0),0)</f>
        <v>0</v>
      </c>
      <c r="AT214" s="464">
        <f>+IF($I214=AT$10,IF($L214=AT$11,#REF!,0),0)</f>
        <v>0</v>
      </c>
      <c r="AU214" s="464">
        <f>+IF($I214=AU$10,IF($L214=AU$11,#REF!,0),0)</f>
        <v>0</v>
      </c>
      <c r="AV214" s="464">
        <f>+IF($I214=AV$10,IF($L214=AV$11,#REF!,0),0)</f>
        <v>0</v>
      </c>
      <c r="AW214" s="464">
        <f>+IF($I214=AW$10,IF($L214=AW$11,#REF!,0),0)</f>
        <v>0</v>
      </c>
      <c r="AX214" s="465">
        <f>+IF($I214=AX$10,IF($L214=AX$11,#REF!,0),0)</f>
        <v>0</v>
      </c>
      <c r="AY214" s="463">
        <f>+IF($I214=AY$10,IF($L214=AY$11,#REF!,0),0)</f>
        <v>0</v>
      </c>
      <c r="AZ214" s="464">
        <f>+IF($I214=AZ$10,IF($L214=AZ$11,#REF!,0),0)</f>
        <v>0</v>
      </c>
      <c r="BA214" s="464">
        <f>+IF($I214=BA$10,IF($L214=BA$11,#REF!,0),0)</f>
        <v>0</v>
      </c>
      <c r="BB214" s="464">
        <v>1</v>
      </c>
      <c r="BC214" s="464">
        <f>+IF($I214=BC$10,IF($L214=BC$11,#REF!,0),0)</f>
        <v>0</v>
      </c>
      <c r="BD214" s="465">
        <f>+IF($I214=BD$10,IF($L214=BD$11,#REF!,0),0)</f>
        <v>0</v>
      </c>
      <c r="BE214" s="463">
        <f>+IF($I214=BE$10,IF($L214=BE$11,#REF!,0),0)</f>
        <v>0</v>
      </c>
      <c r="BF214" s="464">
        <f>+IF($I214=BF$10,IF($L214=BF$11,#REF!,0),0)</f>
        <v>0</v>
      </c>
      <c r="BG214" s="464">
        <f>+IF($I214=BG$10,IF($L214=BG$11,#REF!,0),0)</f>
        <v>0</v>
      </c>
      <c r="BH214" s="464">
        <f>+IF($I214=BH$10,IF($L214=BH$11,#REF!,0),0)</f>
        <v>0</v>
      </c>
      <c r="BI214" s="464">
        <f>+IF($I214=BI$10,IF($L214=BI$11,#REF!,0),0)</f>
        <v>0</v>
      </c>
      <c r="BJ214" s="466">
        <f>+IF($I214=BJ$10,IF($L214=BJ$11,#REF!,0),0)</f>
        <v>0</v>
      </c>
    </row>
    <row r="215" spans="5:62" s="467" customFormat="1" ht="16.5" hidden="1" customHeight="1">
      <c r="E215" s="454" t="s">
        <v>1217</v>
      </c>
      <c r="F215" s="455"/>
      <c r="G215" s="456"/>
      <c r="H215" s="457" t="str">
        <f t="shared" si="38"/>
        <v>-</v>
      </c>
      <c r="I215" s="458" t="s">
        <v>1197</v>
      </c>
      <c r="J215" s="566" t="s">
        <v>1198</v>
      </c>
      <c r="K215" s="571">
        <v>200</v>
      </c>
      <c r="L215" s="460" t="s">
        <v>1188</v>
      </c>
      <c r="M215" s="463">
        <f t="shared" si="40"/>
        <v>0</v>
      </c>
      <c r="N215" s="463">
        <f t="shared" si="40"/>
        <v>0</v>
      </c>
      <c r="O215" s="463">
        <f t="shared" si="40"/>
        <v>1</v>
      </c>
      <c r="P215" s="463">
        <f t="shared" si="40"/>
        <v>0</v>
      </c>
      <c r="Q215" s="463">
        <f t="shared" si="40"/>
        <v>0</v>
      </c>
      <c r="R215" s="463">
        <f t="shared" si="40"/>
        <v>0</v>
      </c>
      <c r="S215" s="463">
        <f t="shared" si="40"/>
        <v>0</v>
      </c>
      <c r="T215" s="463">
        <f t="shared" si="40"/>
        <v>0</v>
      </c>
      <c r="U215" s="463">
        <f t="shared" si="40"/>
        <v>0</v>
      </c>
      <c r="V215" s="463">
        <f t="shared" si="40"/>
        <v>0</v>
      </c>
      <c r="W215" s="463">
        <f t="shared" si="40"/>
        <v>0</v>
      </c>
      <c r="X215" s="463">
        <f t="shared" si="37"/>
        <v>0</v>
      </c>
      <c r="Y215" s="463">
        <f t="shared" si="37"/>
        <v>0</v>
      </c>
      <c r="Z215" s="463">
        <f t="shared" si="37"/>
        <v>0</v>
      </c>
      <c r="AA215" s="463">
        <f t="shared" si="37"/>
        <v>0</v>
      </c>
      <c r="AB215" s="463">
        <f t="shared" si="37"/>
        <v>0</v>
      </c>
      <c r="AC215" s="463">
        <f t="shared" si="37"/>
        <v>0</v>
      </c>
      <c r="AD215" s="463">
        <f t="shared" si="37"/>
        <v>0</v>
      </c>
      <c r="AE215" s="463">
        <f t="shared" si="37"/>
        <v>0</v>
      </c>
      <c r="AF215" s="621">
        <f t="shared" si="37"/>
        <v>0</v>
      </c>
      <c r="AG215" s="573"/>
      <c r="AH215" s="464"/>
      <c r="AI215" s="464"/>
      <c r="AJ215" s="464"/>
      <c r="AK215" s="464"/>
      <c r="AL215" s="465"/>
      <c r="AM215" s="463"/>
      <c r="AN215" s="464"/>
      <c r="AO215" s="464"/>
      <c r="AP215" s="464"/>
      <c r="AQ215" s="464"/>
      <c r="AR215" s="465"/>
      <c r="AS215" s="463"/>
      <c r="AT215" s="464"/>
      <c r="AU215" s="464"/>
      <c r="AV215" s="464"/>
      <c r="AW215" s="464"/>
      <c r="AX215" s="465"/>
      <c r="AY215" s="463"/>
      <c r="AZ215" s="464"/>
      <c r="BA215" s="464"/>
      <c r="BB215" s="464"/>
      <c r="BC215" s="464"/>
      <c r="BD215" s="465"/>
      <c r="BE215" s="463"/>
      <c r="BF215" s="464"/>
      <c r="BG215" s="464"/>
      <c r="BH215" s="464">
        <f>+IF($I215=BH$10,IF($L215=BH$11,#REF!,0),0)</f>
        <v>0</v>
      </c>
      <c r="BI215" s="464">
        <f>+IF($I215=BI$10,IF($L215=BI$11,#REF!,0),0)</f>
        <v>0</v>
      </c>
      <c r="BJ215" s="466">
        <f>+IF($I215=BJ$10,IF($L215=BJ$11,#REF!,0),0)</f>
        <v>0</v>
      </c>
    </row>
    <row r="216" spans="5:62" s="467" customFormat="1" ht="16.5" hidden="1" customHeight="1">
      <c r="E216" s="454" t="s">
        <v>1217</v>
      </c>
      <c r="F216" s="455"/>
      <c r="G216" s="456"/>
      <c r="H216" s="457" t="str">
        <f t="shared" si="38"/>
        <v>-</v>
      </c>
      <c r="I216" s="458" t="s">
        <v>1193</v>
      </c>
      <c r="J216" s="566"/>
      <c r="K216" s="571">
        <v>100</v>
      </c>
      <c r="L216" s="460" t="s">
        <v>1188</v>
      </c>
      <c r="M216" s="463">
        <f t="shared" si="40"/>
        <v>1</v>
      </c>
      <c r="N216" s="463">
        <f t="shared" si="40"/>
        <v>0</v>
      </c>
      <c r="O216" s="463">
        <f t="shared" si="40"/>
        <v>0</v>
      </c>
      <c r="P216" s="463">
        <f t="shared" si="40"/>
        <v>0</v>
      </c>
      <c r="Q216" s="463">
        <f t="shared" si="40"/>
        <v>0</v>
      </c>
      <c r="R216" s="463">
        <f t="shared" si="40"/>
        <v>0</v>
      </c>
      <c r="S216" s="463">
        <f t="shared" si="40"/>
        <v>0</v>
      </c>
      <c r="T216" s="463">
        <f t="shared" si="40"/>
        <v>0</v>
      </c>
      <c r="U216" s="463">
        <f t="shared" si="40"/>
        <v>0</v>
      </c>
      <c r="V216" s="463">
        <f t="shared" si="40"/>
        <v>0</v>
      </c>
      <c r="W216" s="463">
        <f t="shared" si="40"/>
        <v>0</v>
      </c>
      <c r="X216" s="463">
        <f t="shared" si="40"/>
        <v>0</v>
      </c>
      <c r="Y216" s="463">
        <f t="shared" si="40"/>
        <v>0</v>
      </c>
      <c r="Z216" s="463">
        <f t="shared" si="40"/>
        <v>0</v>
      </c>
      <c r="AA216" s="463">
        <f t="shared" si="40"/>
        <v>0</v>
      </c>
      <c r="AB216" s="463">
        <f t="shared" si="40"/>
        <v>0</v>
      </c>
      <c r="AC216" s="463">
        <f t="shared" ref="X216:AF217" si="41">+IF($L216=AC$10,IF($K216=AC$11,1,0),0)</f>
        <v>0</v>
      </c>
      <c r="AD216" s="463">
        <f t="shared" si="41"/>
        <v>0</v>
      </c>
      <c r="AE216" s="463">
        <f t="shared" si="41"/>
        <v>0</v>
      </c>
      <c r="AF216" s="621">
        <f t="shared" si="41"/>
        <v>0</v>
      </c>
      <c r="AG216" s="573"/>
      <c r="AH216" s="464"/>
      <c r="AI216" s="464"/>
      <c r="AJ216" s="464"/>
      <c r="AK216" s="464"/>
      <c r="AL216" s="465"/>
      <c r="AM216" s="463"/>
      <c r="AN216" s="464"/>
      <c r="AO216" s="464"/>
      <c r="AP216" s="464"/>
      <c r="AQ216" s="464"/>
      <c r="AR216" s="465"/>
      <c r="AS216" s="463"/>
      <c r="AT216" s="464"/>
      <c r="AU216" s="464"/>
      <c r="AV216" s="464"/>
      <c r="AW216" s="464"/>
      <c r="AX216" s="465"/>
      <c r="AY216" s="463"/>
      <c r="AZ216" s="464"/>
      <c r="BA216" s="464"/>
      <c r="BB216" s="464"/>
      <c r="BC216" s="464"/>
      <c r="BD216" s="465"/>
      <c r="BE216" s="463"/>
      <c r="BF216" s="464"/>
      <c r="BG216" s="464"/>
      <c r="BH216" s="464">
        <f>+IF($I216=BH$10,IF($L216=BH$11,#REF!,0),0)</f>
        <v>0</v>
      </c>
      <c r="BI216" s="464">
        <f>+IF($I216=BI$10,IF($L216=BI$11,#REF!,0),0)</f>
        <v>0</v>
      </c>
      <c r="BJ216" s="466">
        <f>+IF($I216=BJ$10,IF($L216=BJ$11,#REF!,0),0)</f>
        <v>0</v>
      </c>
    </row>
    <row r="217" spans="5:62" s="467" customFormat="1" ht="16.5" hidden="1" customHeight="1">
      <c r="E217" s="454" t="s">
        <v>1217</v>
      </c>
      <c r="F217" s="455"/>
      <c r="G217" s="456"/>
      <c r="H217" s="457" t="str">
        <f t="shared" si="38"/>
        <v>-</v>
      </c>
      <c r="I217" s="458" t="s">
        <v>1193</v>
      </c>
      <c r="J217" s="566"/>
      <c r="K217" s="571">
        <v>200</v>
      </c>
      <c r="L217" s="460" t="s">
        <v>1188</v>
      </c>
      <c r="M217" s="463">
        <f t="shared" si="40"/>
        <v>0</v>
      </c>
      <c r="N217" s="463">
        <f t="shared" si="40"/>
        <v>0</v>
      </c>
      <c r="O217" s="463">
        <f t="shared" si="40"/>
        <v>1</v>
      </c>
      <c r="P217" s="463">
        <f t="shared" si="40"/>
        <v>0</v>
      </c>
      <c r="Q217" s="463">
        <f t="shared" si="40"/>
        <v>0</v>
      </c>
      <c r="R217" s="463">
        <f t="shared" si="40"/>
        <v>0</v>
      </c>
      <c r="S217" s="463">
        <f t="shared" si="40"/>
        <v>0</v>
      </c>
      <c r="T217" s="463">
        <f t="shared" si="40"/>
        <v>0</v>
      </c>
      <c r="U217" s="463">
        <f t="shared" si="40"/>
        <v>0</v>
      </c>
      <c r="V217" s="463">
        <f t="shared" si="40"/>
        <v>0</v>
      </c>
      <c r="W217" s="463">
        <f t="shared" si="40"/>
        <v>0</v>
      </c>
      <c r="X217" s="463">
        <f t="shared" si="41"/>
        <v>0</v>
      </c>
      <c r="Y217" s="463">
        <f t="shared" si="41"/>
        <v>0</v>
      </c>
      <c r="Z217" s="463">
        <f t="shared" si="41"/>
        <v>0</v>
      </c>
      <c r="AA217" s="463">
        <f t="shared" si="41"/>
        <v>0</v>
      </c>
      <c r="AB217" s="463">
        <f t="shared" si="41"/>
        <v>0</v>
      </c>
      <c r="AC217" s="463">
        <f t="shared" si="41"/>
        <v>0</v>
      </c>
      <c r="AD217" s="463">
        <f t="shared" si="41"/>
        <v>0</v>
      </c>
      <c r="AE217" s="463">
        <f t="shared" si="41"/>
        <v>0</v>
      </c>
      <c r="AF217" s="621">
        <f t="shared" si="41"/>
        <v>0</v>
      </c>
      <c r="AG217" s="573"/>
      <c r="AH217" s="464"/>
      <c r="AI217" s="464"/>
      <c r="AJ217" s="464"/>
      <c r="AK217" s="464"/>
      <c r="AL217" s="465">
        <f>+IF($I217=AL$10,IF($L217=AL$11,#REF!,0),0)</f>
        <v>0</v>
      </c>
      <c r="AM217" s="463">
        <f>+IF($I217=AM$10,IF($L217=AM$11,#REF!,0),0)</f>
        <v>0</v>
      </c>
      <c r="AN217" s="464">
        <f>+IF($I217=AN$10,IF($L217=AN$11,#REF!,0),0)</f>
        <v>0</v>
      </c>
      <c r="AO217" s="464">
        <f>+IF($I217=AO$10,IF($L217=AO$11,#REF!,0),0)</f>
        <v>0</v>
      </c>
      <c r="AP217" s="464">
        <f>+IF($I217=AP$10,IF($L217=AP$11,#REF!,0),0)</f>
        <v>0</v>
      </c>
      <c r="AQ217" s="464">
        <f>+IF($I217=AQ$10,IF($L217=AQ$11,#REF!,0),0)</f>
        <v>0</v>
      </c>
      <c r="AR217" s="465">
        <f>+IF($I217=AR$10,IF($L217=AR$11,#REF!,0),0)</f>
        <v>0</v>
      </c>
      <c r="AS217" s="463">
        <f>+IF($I217=AS$10,IF($L217=AS$11,#REF!,0),0)</f>
        <v>0</v>
      </c>
      <c r="AT217" s="464">
        <f>+IF($I217=AT$10,IF($L217=AT$11,#REF!,0),0)</f>
        <v>0</v>
      </c>
      <c r="AU217" s="464">
        <f>+IF($I217=AU$10,IF($L217=AU$11,#REF!,0),0)</f>
        <v>0</v>
      </c>
      <c r="AV217" s="464">
        <f>+IF($I217=AV$10,IF($L217=AV$11,#REF!,0),0)</f>
        <v>0</v>
      </c>
      <c r="AW217" s="464">
        <f>+IF($I217=AW$10,IF($L217=AW$11,#REF!,0),0)</f>
        <v>0</v>
      </c>
      <c r="AX217" s="465">
        <f>+IF($I217=AX$10,IF($L217=AX$11,#REF!,0),0)</f>
        <v>0</v>
      </c>
      <c r="AY217" s="463">
        <f>+IF($I217=AY$10,IF($L217=AY$11,#REF!,0),0)</f>
        <v>0</v>
      </c>
      <c r="AZ217" s="464">
        <f>+IF($I217=AZ$10,IF($L217=AZ$11,#REF!,0),0)</f>
        <v>0</v>
      </c>
      <c r="BA217" s="464">
        <f>+IF($I217=BA$10,IF($L217=BA$11,#REF!,0),0)</f>
        <v>0</v>
      </c>
      <c r="BB217" s="464">
        <f>+IF($I217=BB$10,IF($L217=BB$11,#REF!,0),0)</f>
        <v>0</v>
      </c>
      <c r="BC217" s="464">
        <f>+IF($I217=BC$10,IF($L217=BC$11,#REF!,0),0)</f>
        <v>0</v>
      </c>
      <c r="BD217" s="465">
        <f>+IF($I217=BD$10,IF($L217=BD$11,#REF!,0),0)</f>
        <v>0</v>
      </c>
      <c r="BE217" s="463">
        <f>+IF($I217=BE$10,IF($L217=BE$11,#REF!,0),0)</f>
        <v>0</v>
      </c>
      <c r="BF217" s="464">
        <f>+IF($I217=BF$10,IF($L217=BF$11,#REF!,0),0)</f>
        <v>0</v>
      </c>
      <c r="BG217" s="464">
        <f>+IF($I217=BG$10,IF($L217=BG$11,#REF!,0),0)</f>
        <v>0</v>
      </c>
      <c r="BH217" s="464">
        <f>+IF($I217=BH$10,IF($L217=BH$11,#REF!,0),0)</f>
        <v>0</v>
      </c>
      <c r="BI217" s="464">
        <f>+IF($I217=BI$10,IF($L217=BI$11,#REF!,0),0)</f>
        <v>0</v>
      </c>
      <c r="BJ217" s="466">
        <f>+IF($I217=BJ$10,IF($L217=BJ$11,#REF!,0),0)</f>
        <v>0</v>
      </c>
    </row>
    <row r="218" spans="5:62" s="467" customFormat="1" ht="16.5" hidden="1" customHeight="1">
      <c r="E218" s="454" t="s">
        <v>1217</v>
      </c>
      <c r="F218" s="455"/>
      <c r="G218" s="456"/>
      <c r="H218" s="457" t="str">
        <f t="shared" si="35"/>
        <v>-</v>
      </c>
      <c r="I218" s="458" t="s">
        <v>1197</v>
      </c>
      <c r="J218" s="566" t="s">
        <v>1198</v>
      </c>
      <c r="K218" s="571">
        <v>200</v>
      </c>
      <c r="L218" s="460" t="s">
        <v>1188</v>
      </c>
      <c r="M218" s="463">
        <f t="shared" si="36"/>
        <v>0</v>
      </c>
      <c r="N218" s="463">
        <f t="shared" si="36"/>
        <v>0</v>
      </c>
      <c r="O218" s="463">
        <f t="shared" si="36"/>
        <v>1</v>
      </c>
      <c r="P218" s="463">
        <f t="shared" si="36"/>
        <v>0</v>
      </c>
      <c r="Q218" s="463">
        <f t="shared" si="36"/>
        <v>0</v>
      </c>
      <c r="R218" s="463">
        <f t="shared" si="36"/>
        <v>0</v>
      </c>
      <c r="S218" s="463">
        <f t="shared" si="36"/>
        <v>0</v>
      </c>
      <c r="T218" s="463">
        <f t="shared" si="36"/>
        <v>0</v>
      </c>
      <c r="U218" s="463">
        <f t="shared" si="36"/>
        <v>0</v>
      </c>
      <c r="V218" s="463">
        <f t="shared" si="36"/>
        <v>0</v>
      </c>
      <c r="W218" s="463">
        <f t="shared" si="36"/>
        <v>0</v>
      </c>
      <c r="X218" s="463">
        <f t="shared" si="37"/>
        <v>0</v>
      </c>
      <c r="Y218" s="463">
        <f t="shared" si="37"/>
        <v>0</v>
      </c>
      <c r="Z218" s="463">
        <f t="shared" si="37"/>
        <v>0</v>
      </c>
      <c r="AA218" s="463">
        <f t="shared" si="37"/>
        <v>0</v>
      </c>
      <c r="AB218" s="463">
        <f t="shared" si="37"/>
        <v>0</v>
      </c>
      <c r="AC218" s="463">
        <f t="shared" si="37"/>
        <v>0</v>
      </c>
      <c r="AD218" s="463">
        <f t="shared" si="37"/>
        <v>0</v>
      </c>
      <c r="AE218" s="463">
        <f t="shared" si="37"/>
        <v>0</v>
      </c>
      <c r="AF218" s="621">
        <f t="shared" si="37"/>
        <v>0</v>
      </c>
      <c r="AG218" s="573"/>
      <c r="AH218" s="464"/>
      <c r="AI218" s="464"/>
      <c r="AJ218" s="464"/>
      <c r="AK218" s="464"/>
      <c r="AL218" s="465">
        <f>+IF($I218=AL$10,IF($L218=AL$11,#REF!,0),0)</f>
        <v>0</v>
      </c>
      <c r="AM218" s="463">
        <f>+IF($I218=AM$10,IF($L218=AM$11,#REF!,0),0)</f>
        <v>0</v>
      </c>
      <c r="AN218" s="464">
        <f>+IF($I218=AN$10,IF($L218=AN$11,#REF!,0),0)</f>
        <v>0</v>
      </c>
      <c r="AO218" s="464">
        <f>+IF($I218=AO$10,IF($L218=AO$11,#REF!,0),0)</f>
        <v>0</v>
      </c>
      <c r="AP218" s="464">
        <v>1</v>
      </c>
      <c r="AQ218" s="464">
        <f>+IF($I218=AQ$10,IF($L218=AQ$11,#REF!,0),0)</f>
        <v>0</v>
      </c>
      <c r="AR218" s="465">
        <f>+IF($I218=AR$10,IF($L218=AR$11,#REF!,0),0)</f>
        <v>0</v>
      </c>
      <c r="AS218" s="463">
        <f>+IF($I218=AS$10,IF($L218=AS$11,#REF!,0),0)</f>
        <v>0</v>
      </c>
      <c r="AT218" s="464">
        <f>+IF($I218=AT$10,IF($L218=AT$11,#REF!,0),0)</f>
        <v>0</v>
      </c>
      <c r="AU218" s="464">
        <f>+IF($I218=AU$10,IF($L218=AU$11,#REF!,0),0)</f>
        <v>0</v>
      </c>
      <c r="AV218" s="464">
        <f>+IF($I218=AV$10,IF($L218=AV$11,#REF!,0),0)</f>
        <v>0</v>
      </c>
      <c r="AW218" s="464">
        <f>+IF($I218=AW$10,IF($L218=AW$11,#REF!,0),0)</f>
        <v>0</v>
      </c>
      <c r="AX218" s="465">
        <f>+IF($I218=AX$10,IF($L218=AX$11,#REF!,0),0)</f>
        <v>0</v>
      </c>
      <c r="AY218" s="463">
        <f>+IF($I218=AY$10,IF($L218=AY$11,#REF!,0),0)</f>
        <v>0</v>
      </c>
      <c r="AZ218" s="464">
        <f>+IF($I218=AZ$10,IF($L218=AZ$11,#REF!,0),0)</f>
        <v>0</v>
      </c>
      <c r="BA218" s="464">
        <f>+IF($I218=BA$10,IF($L218=BA$11,#REF!,0),0)</f>
        <v>0</v>
      </c>
      <c r="BB218" s="464">
        <f>+IF($I218=BB$10,IF($L218=BB$11,#REF!,0),0)</f>
        <v>0</v>
      </c>
      <c r="BC218" s="464">
        <f>+IF($I218=BC$10,IF($L218=BC$11,#REF!,0),0)</f>
        <v>0</v>
      </c>
      <c r="BD218" s="465">
        <f>+IF($I218=BD$10,IF($L218=BD$11,#REF!,0),0)</f>
        <v>0</v>
      </c>
      <c r="BE218" s="463">
        <f>+IF($I218=BE$10,IF($L218=BE$11,#REF!,0),0)</f>
        <v>0</v>
      </c>
      <c r="BF218" s="464">
        <f>+IF($I218=BF$10,IF($L218=BF$11,#REF!,0),0)</f>
        <v>0</v>
      </c>
      <c r="BG218" s="464">
        <f>+IF($I218=BG$10,IF($L218=BG$11,#REF!,0),0)</f>
        <v>0</v>
      </c>
      <c r="BH218" s="464">
        <f>+IF($I218=BH$10,IF($L218=BH$11,#REF!,0),0)</f>
        <v>0</v>
      </c>
      <c r="BI218" s="464">
        <f>+IF($I218=BI$10,IF($L218=BI$11,#REF!,0),0)</f>
        <v>0</v>
      </c>
      <c r="BJ218" s="466">
        <f>+IF($I218=BJ$10,IF($L218=BJ$11,#REF!,0),0)</f>
        <v>0</v>
      </c>
    </row>
    <row r="219" spans="5:62" s="467" customFormat="1" ht="16.5" hidden="1" customHeight="1">
      <c r="E219" s="454" t="s">
        <v>1217</v>
      </c>
      <c r="F219" s="455"/>
      <c r="G219" s="456"/>
      <c r="H219" s="457" t="str">
        <f t="shared" si="35"/>
        <v>-</v>
      </c>
      <c r="I219" s="458" t="s">
        <v>1193</v>
      </c>
      <c r="J219" s="566" t="s">
        <v>1192</v>
      </c>
      <c r="K219" s="571">
        <v>100</v>
      </c>
      <c r="L219" s="460" t="s">
        <v>1188</v>
      </c>
      <c r="M219" s="463">
        <f t="shared" si="36"/>
        <v>1</v>
      </c>
      <c r="N219" s="463">
        <f t="shared" si="36"/>
        <v>0</v>
      </c>
      <c r="O219" s="463">
        <f t="shared" si="36"/>
        <v>0</v>
      </c>
      <c r="P219" s="463">
        <f t="shared" si="36"/>
        <v>0</v>
      </c>
      <c r="Q219" s="463">
        <f t="shared" si="36"/>
        <v>0</v>
      </c>
      <c r="R219" s="463">
        <f t="shared" si="36"/>
        <v>0</v>
      </c>
      <c r="S219" s="463">
        <f t="shared" si="36"/>
        <v>0</v>
      </c>
      <c r="T219" s="463">
        <f t="shared" si="36"/>
        <v>0</v>
      </c>
      <c r="U219" s="463">
        <f t="shared" si="36"/>
        <v>0</v>
      </c>
      <c r="V219" s="463">
        <f t="shared" si="36"/>
        <v>0</v>
      </c>
      <c r="W219" s="463">
        <f t="shared" si="36"/>
        <v>0</v>
      </c>
      <c r="X219" s="463">
        <f t="shared" si="37"/>
        <v>0</v>
      </c>
      <c r="Y219" s="463">
        <f t="shared" si="37"/>
        <v>0</v>
      </c>
      <c r="Z219" s="463">
        <f t="shared" si="37"/>
        <v>0</v>
      </c>
      <c r="AA219" s="463">
        <f t="shared" si="37"/>
        <v>0</v>
      </c>
      <c r="AB219" s="463">
        <f t="shared" si="37"/>
        <v>0</v>
      </c>
      <c r="AC219" s="463">
        <f t="shared" si="37"/>
        <v>0</v>
      </c>
      <c r="AD219" s="463">
        <f t="shared" si="37"/>
        <v>0</v>
      </c>
      <c r="AE219" s="463">
        <f t="shared" si="37"/>
        <v>0</v>
      </c>
      <c r="AF219" s="621">
        <f t="shared" si="37"/>
        <v>0</v>
      </c>
      <c r="AG219" s="573"/>
      <c r="AH219" s="464"/>
      <c r="AI219" s="464"/>
      <c r="AJ219" s="464"/>
      <c r="AK219" s="464"/>
      <c r="AL219" s="465">
        <f>+IF($I219=AL$10,IF($L219=AL$11,#REF!,0),0)</f>
        <v>0</v>
      </c>
      <c r="AM219" s="463">
        <f>+IF($I219=AM$10,IF($L219=AM$11,#REF!,0),0)</f>
        <v>0</v>
      </c>
      <c r="AN219" s="464">
        <f>+IF($I219=AN$10,IF($L219=AN$11,#REF!,0),0)</f>
        <v>0</v>
      </c>
      <c r="AO219" s="464">
        <f>+IF($I219=AO$10,IF($L219=AO$11,#REF!,0),0)</f>
        <v>0</v>
      </c>
      <c r="AP219" s="464">
        <f>+IF($I219=AP$10,IF($L219=AP$11,#REF!,0),0)</f>
        <v>0</v>
      </c>
      <c r="AQ219" s="464">
        <f>+IF($I219=AQ$10,IF($L219=AQ$11,#REF!,0),0)</f>
        <v>0</v>
      </c>
      <c r="AR219" s="465">
        <f>+IF($I219=AR$10,IF($L219=AR$11,#REF!,0),0)</f>
        <v>0</v>
      </c>
      <c r="AS219" s="463">
        <f>+IF($I219=AS$10,IF($L219=AS$11,#REF!,0),0)</f>
        <v>0</v>
      </c>
      <c r="AT219" s="464">
        <f>+IF($I219=AT$10,IF($L219=AT$11,#REF!,0),0)</f>
        <v>0</v>
      </c>
      <c r="AU219" s="464">
        <f>+IF($I219=AU$10,IF($L219=AU$11,#REF!,0),0)</f>
        <v>0</v>
      </c>
      <c r="AV219" s="464">
        <v>1</v>
      </c>
      <c r="AW219" s="464">
        <f>+IF($I219=AW$10,IF($L219=AW$11,#REF!,0),0)</f>
        <v>0</v>
      </c>
      <c r="AX219" s="465">
        <f>+IF($I219=AX$10,IF($L219=AX$11,#REF!,0),0)</f>
        <v>0</v>
      </c>
      <c r="AY219" s="463">
        <f>+IF($I219=AY$10,IF($L219=AY$11,#REF!,0),0)</f>
        <v>0</v>
      </c>
      <c r="AZ219" s="464">
        <f>+IF($I219=AZ$10,IF($L219=AZ$11,#REF!,0),0)</f>
        <v>0</v>
      </c>
      <c r="BA219" s="464">
        <f>+IF($I219=BA$10,IF($L219=BA$11,#REF!,0),0)</f>
        <v>0</v>
      </c>
      <c r="BB219" s="464">
        <f>+IF($I219=BB$10,IF($L219=BB$11,#REF!,0),0)</f>
        <v>0</v>
      </c>
      <c r="BC219" s="464">
        <f>+IF($I219=BC$10,IF($L219=BC$11,#REF!,0),0)</f>
        <v>0</v>
      </c>
      <c r="BD219" s="465">
        <f>+IF($I219=BD$10,IF($L219=BD$11,#REF!,0),0)</f>
        <v>0</v>
      </c>
      <c r="BE219" s="463">
        <f>+IF($I219=BE$10,IF($L219=BE$11,#REF!,0),0)</f>
        <v>0</v>
      </c>
      <c r="BF219" s="464">
        <f>+IF($I219=BF$10,IF($L219=BF$11,#REF!,0),0)</f>
        <v>0</v>
      </c>
      <c r="BG219" s="464">
        <f>+IF($I219=BG$10,IF($L219=BG$11,#REF!,0),0)</f>
        <v>0</v>
      </c>
      <c r="BH219" s="464">
        <f>+IF($I219=BH$10,IF($L219=BH$11,#REF!,0),0)</f>
        <v>0</v>
      </c>
      <c r="BI219" s="464">
        <f>+IF($I219=BI$10,IF($L219=BI$11,#REF!,0),0)</f>
        <v>0</v>
      </c>
      <c r="BJ219" s="466">
        <f>+IF($I219=BJ$10,IF($L219=BJ$11,#REF!,0),0)</f>
        <v>0</v>
      </c>
    </row>
    <row r="220" spans="5:62" s="467" customFormat="1" ht="16.5" hidden="1" customHeight="1">
      <c r="E220" s="454" t="s">
        <v>1217</v>
      </c>
      <c r="F220" s="455"/>
      <c r="G220" s="456"/>
      <c r="H220" s="457" t="str">
        <f t="shared" si="35"/>
        <v>-</v>
      </c>
      <c r="I220" s="458" t="s">
        <v>1194</v>
      </c>
      <c r="J220" s="566"/>
      <c r="K220" s="571">
        <v>250</v>
      </c>
      <c r="L220" s="460" t="s">
        <v>1188</v>
      </c>
      <c r="M220" s="463">
        <f t="shared" si="36"/>
        <v>0</v>
      </c>
      <c r="N220" s="463">
        <f t="shared" si="36"/>
        <v>0</v>
      </c>
      <c r="O220" s="463">
        <f t="shared" si="36"/>
        <v>0</v>
      </c>
      <c r="P220" s="463">
        <f t="shared" si="36"/>
        <v>1</v>
      </c>
      <c r="Q220" s="463">
        <f t="shared" si="36"/>
        <v>0</v>
      </c>
      <c r="R220" s="463">
        <f t="shared" si="36"/>
        <v>0</v>
      </c>
      <c r="S220" s="463">
        <f t="shared" si="36"/>
        <v>0</v>
      </c>
      <c r="T220" s="463">
        <f t="shared" si="36"/>
        <v>0</v>
      </c>
      <c r="U220" s="463">
        <f t="shared" si="36"/>
        <v>0</v>
      </c>
      <c r="V220" s="463">
        <f t="shared" si="36"/>
        <v>0</v>
      </c>
      <c r="W220" s="463">
        <f t="shared" si="36"/>
        <v>0</v>
      </c>
      <c r="X220" s="463">
        <f t="shared" si="37"/>
        <v>0</v>
      </c>
      <c r="Y220" s="463">
        <f t="shared" si="37"/>
        <v>0</v>
      </c>
      <c r="Z220" s="463">
        <f t="shared" si="37"/>
        <v>0</v>
      </c>
      <c r="AA220" s="463">
        <f t="shared" si="37"/>
        <v>0</v>
      </c>
      <c r="AB220" s="463">
        <f t="shared" si="37"/>
        <v>0</v>
      </c>
      <c r="AC220" s="463">
        <f t="shared" si="37"/>
        <v>0</v>
      </c>
      <c r="AD220" s="463">
        <f t="shared" si="37"/>
        <v>0</v>
      </c>
      <c r="AE220" s="463">
        <f t="shared" si="37"/>
        <v>0</v>
      </c>
      <c r="AF220" s="621">
        <f t="shared" si="37"/>
        <v>0</v>
      </c>
      <c r="AG220" s="573"/>
      <c r="AH220" s="464"/>
      <c r="AI220" s="464"/>
      <c r="AJ220" s="464"/>
      <c r="AK220" s="464"/>
      <c r="AL220" s="465">
        <f>+IF($I220=AL$10,IF($L220=AL$11,#REF!,0),0)</f>
        <v>0</v>
      </c>
      <c r="AM220" s="463">
        <f>+IF($I220=AM$10,IF($L220=AM$11,#REF!,0),0)</f>
        <v>0</v>
      </c>
      <c r="AN220" s="464">
        <f>+IF($I220=AN$10,IF($L220=AN$11,#REF!,0),0)</f>
        <v>0</v>
      </c>
      <c r="AO220" s="464">
        <f>+IF($I220=AO$10,IF($L220=AO$11,#REF!,0),0)</f>
        <v>0</v>
      </c>
      <c r="AP220" s="464">
        <f>+IF($I220=AP$10,IF($L220=AP$11,#REF!,0),0)</f>
        <v>0</v>
      </c>
      <c r="AQ220" s="464">
        <f>+IF($I220=AQ$10,IF($L220=AQ$11,#REF!,0),0)</f>
        <v>0</v>
      </c>
      <c r="AR220" s="465">
        <f>+IF($I220=AR$10,IF($L220=AR$11,#REF!,0),0)</f>
        <v>0</v>
      </c>
      <c r="AS220" s="463">
        <f>+IF($I220=AS$10,IF($L220=AS$11,#REF!,0),0)</f>
        <v>0</v>
      </c>
      <c r="AT220" s="464">
        <f>+IF($I220=AT$10,IF($L220=AT$11,#REF!,0),0)</f>
        <v>0</v>
      </c>
      <c r="AU220" s="464">
        <f>+IF($I220=AU$10,IF($L220=AU$11,#REF!,0),0)</f>
        <v>0</v>
      </c>
      <c r="AV220" s="464">
        <f>+IF($I220=AV$10,IF($L220=AV$11,#REF!,0),0)</f>
        <v>0</v>
      </c>
      <c r="AW220" s="464">
        <f>+IF($I220=AW$10,IF($L220=AW$11,#REF!,0),0)</f>
        <v>0</v>
      </c>
      <c r="AX220" s="465">
        <f>+IF($I220=AX$10,IF($L220=AX$11,#REF!,0),0)</f>
        <v>0</v>
      </c>
      <c r="AY220" s="463">
        <v>1</v>
      </c>
      <c r="AZ220" s="464">
        <f>+IF($I220=AZ$10,IF($L220=AZ$11,#REF!,0),0)</f>
        <v>0</v>
      </c>
      <c r="BA220" s="464">
        <f>+IF($I220=BA$10,IF($L220=BA$11,#REF!,0),0)</f>
        <v>0</v>
      </c>
      <c r="BB220" s="464">
        <f>+IF($I220=BB$10,IF($L220=BB$11,#REF!,0),0)</f>
        <v>0</v>
      </c>
      <c r="BC220" s="464">
        <f>+IF($I220=BC$10,IF($L220=BC$11,#REF!,0),0)</f>
        <v>0</v>
      </c>
      <c r="BD220" s="465">
        <f>+IF($I220=BD$10,IF($L220=BD$11,#REF!,0),0)</f>
        <v>0</v>
      </c>
      <c r="BE220" s="463">
        <f>+IF($I220=BE$10,IF($L220=BE$11,#REF!,0),0)</f>
        <v>0</v>
      </c>
      <c r="BF220" s="464">
        <f>+IF($I220=BF$10,IF($L220=BF$11,#REF!,0),0)</f>
        <v>0</v>
      </c>
      <c r="BG220" s="464">
        <f>+IF($I220=BG$10,IF($L220=BG$11,#REF!,0),0)</f>
        <v>0</v>
      </c>
      <c r="BH220" s="464">
        <f>+IF($I220=BH$10,IF($L220=BH$11,#REF!,0),0)</f>
        <v>0</v>
      </c>
      <c r="BI220" s="464">
        <f>+IF($I220=BI$10,IF($L220=BI$11,#REF!,0),0)</f>
        <v>0</v>
      </c>
      <c r="BJ220" s="466">
        <f>+IF($I220=BJ$10,IF($L220=BJ$11,#REF!,0),0)</f>
        <v>0</v>
      </c>
    </row>
    <row r="221" spans="5:62" s="467" customFormat="1" ht="16.5" hidden="1" customHeight="1">
      <c r="E221" s="454" t="s">
        <v>1217</v>
      </c>
      <c r="F221" s="455"/>
      <c r="G221" s="456"/>
      <c r="H221" s="457" t="str">
        <f t="shared" si="35"/>
        <v>-</v>
      </c>
      <c r="I221" s="458" t="s">
        <v>1194</v>
      </c>
      <c r="J221" s="566"/>
      <c r="K221" s="571">
        <v>150</v>
      </c>
      <c r="L221" s="460" t="s">
        <v>1188</v>
      </c>
      <c r="M221" s="463">
        <f t="shared" si="36"/>
        <v>0</v>
      </c>
      <c r="N221" s="463">
        <f t="shared" si="36"/>
        <v>1</v>
      </c>
      <c r="O221" s="463">
        <f t="shared" si="36"/>
        <v>0</v>
      </c>
      <c r="P221" s="463">
        <f t="shared" si="36"/>
        <v>0</v>
      </c>
      <c r="Q221" s="463">
        <f t="shared" si="36"/>
        <v>0</v>
      </c>
      <c r="R221" s="463">
        <f t="shared" si="36"/>
        <v>0</v>
      </c>
      <c r="S221" s="463">
        <f t="shared" si="36"/>
        <v>0</v>
      </c>
      <c r="T221" s="463">
        <f t="shared" si="36"/>
        <v>0</v>
      </c>
      <c r="U221" s="463">
        <f t="shared" si="36"/>
        <v>0</v>
      </c>
      <c r="V221" s="463">
        <f t="shared" si="36"/>
        <v>0</v>
      </c>
      <c r="W221" s="463">
        <f t="shared" si="36"/>
        <v>0</v>
      </c>
      <c r="X221" s="463">
        <f t="shared" si="37"/>
        <v>0</v>
      </c>
      <c r="Y221" s="463">
        <f t="shared" si="37"/>
        <v>0</v>
      </c>
      <c r="Z221" s="463">
        <f t="shared" si="37"/>
        <v>0</v>
      </c>
      <c r="AA221" s="463">
        <f t="shared" si="37"/>
        <v>0</v>
      </c>
      <c r="AB221" s="463">
        <f t="shared" si="37"/>
        <v>0</v>
      </c>
      <c r="AC221" s="463">
        <f t="shared" si="37"/>
        <v>0</v>
      </c>
      <c r="AD221" s="463">
        <f t="shared" si="37"/>
        <v>0</v>
      </c>
      <c r="AE221" s="463">
        <f t="shared" si="37"/>
        <v>0</v>
      </c>
      <c r="AF221" s="621">
        <f t="shared" si="37"/>
        <v>0</v>
      </c>
      <c r="AG221" s="573"/>
      <c r="AH221" s="464"/>
      <c r="AI221" s="464"/>
      <c r="AJ221" s="464"/>
      <c r="AK221" s="464"/>
      <c r="AL221" s="465">
        <f>+IF($I221=AL$10,IF($L221=AL$11,#REF!,0),0)</f>
        <v>0</v>
      </c>
      <c r="AM221" s="463">
        <f>+IF($I221=AM$10,IF($L221=AM$11,#REF!,0),0)</f>
        <v>0</v>
      </c>
      <c r="AN221" s="464">
        <f>+IF($I221=AN$10,IF($L221=AN$11,#REF!,0),0)</f>
        <v>0</v>
      </c>
      <c r="AO221" s="464">
        <f>+IF($I221=AO$10,IF($L221=AO$11,#REF!,0),0)</f>
        <v>0</v>
      </c>
      <c r="AP221" s="464">
        <f>+IF($I221=AP$10,IF($L221=AP$11,#REF!,0),0)</f>
        <v>0</v>
      </c>
      <c r="AQ221" s="464">
        <f>+IF($I221=AQ$10,IF($L221=AQ$11,#REF!,0),0)</f>
        <v>0</v>
      </c>
      <c r="AR221" s="465">
        <f>+IF($I221=AR$10,IF($L221=AR$11,#REF!,0),0)</f>
        <v>0</v>
      </c>
      <c r="AS221" s="463">
        <f>+IF($I221=AS$10,IF($L221=AS$11,#REF!,0),0)</f>
        <v>0</v>
      </c>
      <c r="AT221" s="464">
        <f>+IF($I221=AT$10,IF($L221=AT$11,#REF!,0),0)</f>
        <v>0</v>
      </c>
      <c r="AU221" s="464">
        <f>+IF($I221=AU$10,IF($L221=AU$11,#REF!,0),0)</f>
        <v>0</v>
      </c>
      <c r="AV221" s="464">
        <f>+IF($I221=AV$10,IF($L221=AV$11,#REF!,0),0)</f>
        <v>0</v>
      </c>
      <c r="AW221" s="464">
        <f>+IF($I221=AW$10,IF($L221=AW$11,#REF!,0),0)</f>
        <v>0</v>
      </c>
      <c r="AX221" s="465">
        <f>+IF($I221=AX$10,IF($L221=AX$11,#REF!,0),0)</f>
        <v>0</v>
      </c>
      <c r="AY221" s="463">
        <f>+IF($I221=AY$10,IF($L221=AY$11,#REF!,0),0)</f>
        <v>0</v>
      </c>
      <c r="AZ221" s="464">
        <f>+IF($I221=AZ$10,IF($L221=AZ$11,#REF!,0),0)</f>
        <v>0</v>
      </c>
      <c r="BA221" s="464">
        <v>1</v>
      </c>
      <c r="BB221" s="464">
        <f>+IF($I221=BB$10,IF($L221=BB$11,#REF!,0),0)</f>
        <v>0</v>
      </c>
      <c r="BC221" s="464">
        <f>+IF($I221=BC$10,IF($L221=BC$11,#REF!,0),0)</f>
        <v>0</v>
      </c>
      <c r="BD221" s="465">
        <f>+IF($I221=BD$10,IF($L221=BD$11,#REF!,0),0)</f>
        <v>0</v>
      </c>
      <c r="BE221" s="463">
        <f>+IF($I221=BE$10,IF($L221=BE$11,#REF!,0),0)</f>
        <v>0</v>
      </c>
      <c r="BF221" s="464">
        <f>+IF($I221=BF$10,IF($L221=BF$11,#REF!,0),0)</f>
        <v>0</v>
      </c>
      <c r="BG221" s="464">
        <f>+IF($I221=BG$10,IF($L221=BG$11,#REF!,0),0)</f>
        <v>0</v>
      </c>
      <c r="BH221" s="464">
        <f>+IF($I221=BH$10,IF($L221=BH$11,#REF!,0),0)</f>
        <v>0</v>
      </c>
      <c r="BI221" s="464">
        <f>+IF($I221=BI$10,IF($L221=BI$11,#REF!,0),0)</f>
        <v>0</v>
      </c>
      <c r="BJ221" s="466">
        <f>+IF($I221=BJ$10,IF($L221=BJ$11,#REF!,0),0)</f>
        <v>0</v>
      </c>
    </row>
    <row r="222" spans="5:62" s="434" customFormat="1" ht="15" hidden="1" customHeight="1">
      <c r="E222" s="454" t="s">
        <v>1217</v>
      </c>
      <c r="F222" s="455"/>
      <c r="G222" s="456"/>
      <c r="H222" s="457"/>
      <c r="I222" s="458" t="s">
        <v>1210</v>
      </c>
      <c r="J222" s="566"/>
      <c r="K222" s="459"/>
      <c r="L222" s="460"/>
      <c r="M222" s="463">
        <f t="shared" ref="M222:AB223" si="42">+IF($L222=M$10,IF($K222=M$11,1,0),0)</f>
        <v>0</v>
      </c>
      <c r="N222" s="463">
        <f t="shared" si="42"/>
        <v>0</v>
      </c>
      <c r="O222" s="463">
        <f t="shared" si="42"/>
        <v>0</v>
      </c>
      <c r="P222" s="463">
        <f t="shared" si="42"/>
        <v>0</v>
      </c>
      <c r="Q222" s="463">
        <f t="shared" si="42"/>
        <v>0</v>
      </c>
      <c r="R222" s="463">
        <f t="shared" si="42"/>
        <v>0</v>
      </c>
      <c r="S222" s="463">
        <v>45</v>
      </c>
      <c r="T222" s="463">
        <f t="shared" si="42"/>
        <v>0</v>
      </c>
      <c r="U222" s="463">
        <f t="shared" si="42"/>
        <v>0</v>
      </c>
      <c r="V222" s="463">
        <f t="shared" si="42"/>
        <v>0</v>
      </c>
      <c r="W222" s="463">
        <f t="shared" si="42"/>
        <v>0</v>
      </c>
      <c r="X222" s="463">
        <f t="shared" si="42"/>
        <v>0</v>
      </c>
      <c r="Y222" s="463">
        <f t="shared" si="42"/>
        <v>0</v>
      </c>
      <c r="Z222" s="463">
        <f t="shared" si="42"/>
        <v>0</v>
      </c>
      <c r="AA222" s="463">
        <f t="shared" si="42"/>
        <v>0</v>
      </c>
      <c r="AB222" s="463">
        <f t="shared" si="42"/>
        <v>0</v>
      </c>
      <c r="AC222" s="463">
        <f t="shared" ref="AC222:AF223" si="43">+IF($L222=AC$10,IF($K222=AC$11,1,0),0)</f>
        <v>0</v>
      </c>
      <c r="AD222" s="463">
        <f t="shared" si="43"/>
        <v>0</v>
      </c>
      <c r="AE222" s="463">
        <f t="shared" si="43"/>
        <v>0</v>
      </c>
      <c r="AF222" s="621">
        <f t="shared" si="43"/>
        <v>0</v>
      </c>
      <c r="AG222" s="573"/>
      <c r="AH222" s="464"/>
      <c r="AI222" s="464"/>
      <c r="AJ222" s="464"/>
      <c r="AK222" s="464"/>
      <c r="AL222" s="465"/>
      <c r="AM222" s="463"/>
      <c r="AN222" s="464"/>
      <c r="AO222" s="464"/>
      <c r="AP222" s="464"/>
      <c r="AQ222" s="575"/>
      <c r="AR222" s="576"/>
      <c r="AS222" s="577"/>
      <c r="AT222" s="575"/>
      <c r="AU222" s="575"/>
      <c r="AV222" s="575"/>
      <c r="AW222" s="575"/>
      <c r="AX222" s="576"/>
      <c r="AY222" s="577"/>
      <c r="AZ222" s="575"/>
      <c r="BA222" s="575"/>
      <c r="BB222" s="575"/>
      <c r="BC222" s="575"/>
      <c r="BD222" s="576"/>
      <c r="BE222" s="577"/>
      <c r="BF222" s="575"/>
      <c r="BG222" s="575"/>
      <c r="BH222" s="575"/>
      <c r="BI222" s="575"/>
      <c r="BJ222" s="578"/>
    </row>
    <row r="223" spans="5:62" s="434" customFormat="1" ht="15" hidden="1" customHeight="1">
      <c r="E223" s="454" t="s">
        <v>1217</v>
      </c>
      <c r="F223" s="455"/>
      <c r="G223" s="456"/>
      <c r="H223" s="457"/>
      <c r="I223" s="458" t="s">
        <v>1211</v>
      </c>
      <c r="J223" s="566"/>
      <c r="K223" s="459"/>
      <c r="L223" s="460"/>
      <c r="M223" s="463">
        <f t="shared" si="42"/>
        <v>0</v>
      </c>
      <c r="N223" s="463">
        <f t="shared" si="42"/>
        <v>0</v>
      </c>
      <c r="O223" s="463">
        <f t="shared" si="42"/>
        <v>0</v>
      </c>
      <c r="P223" s="463">
        <f t="shared" si="42"/>
        <v>0</v>
      </c>
      <c r="Q223" s="463">
        <f t="shared" si="42"/>
        <v>0</v>
      </c>
      <c r="R223" s="463">
        <f t="shared" si="42"/>
        <v>0</v>
      </c>
      <c r="S223" s="463">
        <f t="shared" si="42"/>
        <v>0</v>
      </c>
      <c r="T223" s="463">
        <v>31</v>
      </c>
      <c r="U223" s="463">
        <f t="shared" si="42"/>
        <v>0</v>
      </c>
      <c r="V223" s="463">
        <f t="shared" si="42"/>
        <v>0</v>
      </c>
      <c r="W223" s="463">
        <f t="shared" si="42"/>
        <v>0</v>
      </c>
      <c r="X223" s="463">
        <f t="shared" si="42"/>
        <v>0</v>
      </c>
      <c r="Y223" s="463">
        <f t="shared" si="42"/>
        <v>0</v>
      </c>
      <c r="Z223" s="463">
        <f t="shared" si="42"/>
        <v>0</v>
      </c>
      <c r="AA223" s="463">
        <f t="shared" si="42"/>
        <v>0</v>
      </c>
      <c r="AB223" s="463">
        <f t="shared" si="42"/>
        <v>0</v>
      </c>
      <c r="AC223" s="463">
        <f t="shared" si="43"/>
        <v>0</v>
      </c>
      <c r="AD223" s="463">
        <f t="shared" si="43"/>
        <v>0</v>
      </c>
      <c r="AE223" s="463">
        <f t="shared" si="43"/>
        <v>0</v>
      </c>
      <c r="AF223" s="621">
        <f t="shared" si="43"/>
        <v>0</v>
      </c>
      <c r="AG223" s="573"/>
      <c r="AH223" s="464"/>
      <c r="AI223" s="464"/>
      <c r="AJ223" s="464"/>
      <c r="AK223" s="464"/>
      <c r="AL223" s="465"/>
      <c r="AM223" s="463"/>
      <c r="AN223" s="464"/>
      <c r="AO223" s="464"/>
      <c r="AP223" s="464"/>
      <c r="AQ223" s="575"/>
      <c r="AR223" s="576"/>
      <c r="AS223" s="577"/>
      <c r="AT223" s="575"/>
      <c r="AU223" s="575"/>
      <c r="AV223" s="575"/>
      <c r="AW223" s="575"/>
      <c r="AX223" s="576"/>
      <c r="AY223" s="577"/>
      <c r="AZ223" s="575"/>
      <c r="BA223" s="575"/>
      <c r="BB223" s="575"/>
      <c r="BC223" s="575"/>
      <c r="BD223" s="576"/>
      <c r="BE223" s="577"/>
      <c r="BF223" s="575"/>
      <c r="BG223" s="575"/>
      <c r="BH223" s="575"/>
      <c r="BI223" s="575"/>
      <c r="BJ223" s="578"/>
    </row>
    <row r="224" spans="5:62" s="467" customFormat="1" ht="16.5" hidden="1" customHeight="1">
      <c r="E224" s="454" t="s">
        <v>1217</v>
      </c>
      <c r="F224" s="455"/>
      <c r="G224" s="456"/>
      <c r="H224" s="457" t="str">
        <f t="shared" si="16"/>
        <v>-</v>
      </c>
      <c r="I224" s="458" t="str">
        <f t="shared" ref="I224:I225" si="44">+IF(K224="PT","POSTE DE TELEFONO",IF(K224="PL","POSTE DE ALUMBRADO",IF(K224="PMT","POSTE DE MEDIA TENSIÓN",0)))</f>
        <v>POSTE DE TELEFONO</v>
      </c>
      <c r="J224" s="566"/>
      <c r="K224" s="571" t="s">
        <v>1203</v>
      </c>
      <c r="L224" s="460" t="s">
        <v>1191</v>
      </c>
      <c r="M224" s="463">
        <f t="shared" ref="M224:AB234" si="45">+IF($L224=M$10,IF($K224=M$11,1,0),0)</f>
        <v>0</v>
      </c>
      <c r="N224" s="463">
        <f t="shared" si="45"/>
        <v>0</v>
      </c>
      <c r="O224" s="463">
        <f t="shared" si="45"/>
        <v>0</v>
      </c>
      <c r="P224" s="463">
        <f t="shared" si="45"/>
        <v>0</v>
      </c>
      <c r="Q224" s="463">
        <f t="shared" si="45"/>
        <v>0</v>
      </c>
      <c r="R224" s="463">
        <f t="shared" si="45"/>
        <v>0</v>
      </c>
      <c r="S224" s="463">
        <f t="shared" si="45"/>
        <v>0</v>
      </c>
      <c r="T224" s="463">
        <f t="shared" si="45"/>
        <v>0</v>
      </c>
      <c r="U224" s="463">
        <f t="shared" si="45"/>
        <v>0</v>
      </c>
      <c r="V224" s="463">
        <f t="shared" si="45"/>
        <v>0</v>
      </c>
      <c r="W224" s="463">
        <f t="shared" si="45"/>
        <v>0</v>
      </c>
      <c r="X224" s="463">
        <f t="shared" si="45"/>
        <v>0</v>
      </c>
      <c r="Y224" s="463">
        <f t="shared" si="45"/>
        <v>0</v>
      </c>
      <c r="Z224" s="463">
        <f t="shared" si="45"/>
        <v>0</v>
      </c>
      <c r="AA224" s="463">
        <f t="shared" si="45"/>
        <v>1</v>
      </c>
      <c r="AB224" s="463">
        <f t="shared" si="45"/>
        <v>0</v>
      </c>
      <c r="AC224" s="463">
        <f t="shared" ref="X224:AF234" si="46">+IF($L224=AC$10,IF($K224=AC$11,1,0),0)</f>
        <v>0</v>
      </c>
      <c r="AD224" s="463">
        <f t="shared" si="46"/>
        <v>0</v>
      </c>
      <c r="AE224" s="463">
        <f t="shared" si="46"/>
        <v>0</v>
      </c>
      <c r="AF224" s="621">
        <f t="shared" si="46"/>
        <v>0</v>
      </c>
      <c r="AG224" s="573"/>
      <c r="AH224" s="464"/>
      <c r="AI224" s="464"/>
      <c r="AJ224" s="464"/>
      <c r="AK224" s="464"/>
      <c r="AL224" s="465"/>
      <c r="AM224" s="463"/>
      <c r="AN224" s="464"/>
      <c r="AO224" s="464"/>
      <c r="AP224" s="464"/>
      <c r="AQ224" s="464"/>
      <c r="AR224" s="465"/>
      <c r="AS224" s="463"/>
      <c r="AT224" s="464"/>
      <c r="AU224" s="464"/>
      <c r="AV224" s="464"/>
      <c r="AW224" s="464"/>
      <c r="AX224" s="465"/>
      <c r="AY224" s="463"/>
      <c r="AZ224" s="464"/>
      <c r="BA224" s="464"/>
      <c r="BB224" s="464"/>
      <c r="BC224" s="464"/>
      <c r="BD224" s="465"/>
      <c r="BE224" s="463"/>
      <c r="BF224" s="464"/>
      <c r="BG224" s="464"/>
      <c r="BH224" s="464">
        <f>+IF($I224=BH$10,IF($L224=BH$11,#REF!,0),0)</f>
        <v>0</v>
      </c>
      <c r="BI224" s="464">
        <f>+IF($I224=BI$10,IF($L224=BI$11,#REF!,0),0)</f>
        <v>0</v>
      </c>
      <c r="BJ224" s="466">
        <f>+IF($I224=BJ$10,IF($L224=BJ$11,#REF!,0),0)</f>
        <v>0</v>
      </c>
    </row>
    <row r="225" spans="5:62" s="467" customFormat="1" ht="16.5" hidden="1" customHeight="1">
      <c r="E225" s="454" t="s">
        <v>1217</v>
      </c>
      <c r="F225" s="455"/>
      <c r="G225" s="456"/>
      <c r="H225" s="457" t="str">
        <f t="shared" si="16"/>
        <v>-</v>
      </c>
      <c r="I225" s="458" t="str">
        <f t="shared" si="44"/>
        <v>POSTE DE ALUMBRADO</v>
      </c>
      <c r="J225" s="566"/>
      <c r="K225" s="459" t="s">
        <v>1204</v>
      </c>
      <c r="L225" s="460" t="s">
        <v>1191</v>
      </c>
      <c r="M225" s="463">
        <f t="shared" si="45"/>
        <v>0</v>
      </c>
      <c r="N225" s="463">
        <f t="shared" si="45"/>
        <v>0</v>
      </c>
      <c r="O225" s="463">
        <f t="shared" si="45"/>
        <v>0</v>
      </c>
      <c r="P225" s="463">
        <f t="shared" si="45"/>
        <v>0</v>
      </c>
      <c r="Q225" s="463">
        <f t="shared" si="45"/>
        <v>0</v>
      </c>
      <c r="R225" s="463">
        <f t="shared" si="45"/>
        <v>0</v>
      </c>
      <c r="S225" s="463">
        <f t="shared" si="45"/>
        <v>0</v>
      </c>
      <c r="T225" s="463">
        <f t="shared" si="45"/>
        <v>0</v>
      </c>
      <c r="U225" s="463">
        <f t="shared" si="45"/>
        <v>0</v>
      </c>
      <c r="V225" s="463">
        <f t="shared" si="45"/>
        <v>0</v>
      </c>
      <c r="W225" s="463">
        <f t="shared" si="45"/>
        <v>0</v>
      </c>
      <c r="X225" s="463">
        <f t="shared" si="46"/>
        <v>0</v>
      </c>
      <c r="Y225" s="463">
        <f t="shared" si="46"/>
        <v>0</v>
      </c>
      <c r="Z225" s="463">
        <f t="shared" si="46"/>
        <v>0</v>
      </c>
      <c r="AA225" s="463">
        <f t="shared" si="46"/>
        <v>0</v>
      </c>
      <c r="AB225" s="463">
        <f t="shared" si="46"/>
        <v>1</v>
      </c>
      <c r="AC225" s="463">
        <f t="shared" si="46"/>
        <v>0</v>
      </c>
      <c r="AD225" s="463">
        <f t="shared" si="46"/>
        <v>0</v>
      </c>
      <c r="AE225" s="463">
        <f t="shared" si="46"/>
        <v>0</v>
      </c>
      <c r="AF225" s="621">
        <f t="shared" si="46"/>
        <v>0</v>
      </c>
      <c r="AG225" s="573"/>
      <c r="AH225" s="464"/>
      <c r="AI225" s="464"/>
      <c r="AJ225" s="464"/>
      <c r="AK225" s="464"/>
      <c r="AL225" s="465">
        <f>+IF($I225=AL$10,IF($L225=AL$11,#REF!,0),0)</f>
        <v>0</v>
      </c>
      <c r="AM225" s="463">
        <f>+IF($I225=AM$10,IF($L225=AM$11,#REF!,0),0)</f>
        <v>0</v>
      </c>
      <c r="AN225" s="464">
        <f>+IF($I225=AN$10,IF($L225=AN$11,#REF!,0),0)</f>
        <v>0</v>
      </c>
      <c r="AO225" s="464">
        <f>+IF($I225=AO$10,IF($L225=AO$11,#REF!,0),0)</f>
        <v>0</v>
      </c>
      <c r="AP225" s="464">
        <f>+IF($I225=AP$10,IF($L225=AP$11,#REF!,0),0)</f>
        <v>0</v>
      </c>
      <c r="AQ225" s="464">
        <f>+IF($I225=AQ$10,IF($L225=AQ$11,#REF!,0),0)</f>
        <v>0</v>
      </c>
      <c r="AR225" s="465">
        <f>+IF($I225=AR$10,IF($L225=AR$11,#REF!,0),0)</f>
        <v>0</v>
      </c>
      <c r="AS225" s="463">
        <f>+IF($I225=AS$10,IF($L225=AS$11,#REF!,0),0)</f>
        <v>0</v>
      </c>
      <c r="AT225" s="464">
        <f>+IF($I225=AT$10,IF($L225=AT$11,#REF!,0),0)</f>
        <v>0</v>
      </c>
      <c r="AU225" s="464">
        <f>+IF($I225=AU$10,IF($L225=AU$11,#REF!,0),0)</f>
        <v>0</v>
      </c>
      <c r="AV225" s="464">
        <f>+IF($I225=AV$10,IF($L225=AV$11,#REF!,0),0)</f>
        <v>0</v>
      </c>
      <c r="AW225" s="464">
        <f>+IF($I225=AW$10,IF($L225=AW$11,#REF!,0),0)</f>
        <v>0</v>
      </c>
      <c r="AX225" s="465">
        <f>+IF($I225=AX$10,IF($L225=AX$11,#REF!,0),0)</f>
        <v>0</v>
      </c>
      <c r="AY225" s="463">
        <f>+IF($I225=AY$10,IF($L225=AY$11,#REF!,0),0)</f>
        <v>0</v>
      </c>
      <c r="AZ225" s="464">
        <f>+IF($I225=AZ$10,IF($L225=AZ$11,#REF!,0),0)</f>
        <v>0</v>
      </c>
      <c r="BA225" s="464">
        <f>+IF($I225=BA$10,IF($L225=BA$11,#REF!,0),0)</f>
        <v>0</v>
      </c>
      <c r="BB225" s="464">
        <f>+IF($I225=BB$10,IF($L225=BB$11,#REF!,0),0)</f>
        <v>0</v>
      </c>
      <c r="BC225" s="464">
        <f>+IF($I225=BC$10,IF($L225=BC$11,#REF!,0),0)</f>
        <v>0</v>
      </c>
      <c r="BD225" s="465">
        <f>+IF($I225=BD$10,IF($L225=BD$11,#REF!,0),0)</f>
        <v>0</v>
      </c>
      <c r="BE225" s="463">
        <f>+IF($I225=BE$10,IF($L225=BE$11,#REF!,0),0)</f>
        <v>0</v>
      </c>
      <c r="BF225" s="464">
        <f>+IF($I225=BF$10,IF($L225=BF$11,#REF!,0),0)</f>
        <v>0</v>
      </c>
      <c r="BG225" s="464">
        <f>+IF($I225=BG$10,IF($L225=BG$11,#REF!,0),0)</f>
        <v>0</v>
      </c>
      <c r="BH225" s="464">
        <f>+IF($I225=BH$10,IF($L225=BH$11,#REF!,0),0)</f>
        <v>0</v>
      </c>
      <c r="BI225" s="464">
        <f>+IF($I225=BI$10,IF($L225=BI$11,#REF!,0),0)</f>
        <v>0</v>
      </c>
      <c r="BJ225" s="466">
        <f>+IF($I225=BJ$10,IF($L225=BJ$11,#REF!,0),0)</f>
        <v>0</v>
      </c>
    </row>
    <row r="226" spans="5:62" s="467" customFormat="1" ht="16.5" hidden="1" customHeight="1">
      <c r="E226" s="454" t="s">
        <v>1217</v>
      </c>
      <c r="F226" s="455"/>
      <c r="G226" s="456"/>
      <c r="H226" s="457" t="str">
        <f t="shared" si="16"/>
        <v>-</v>
      </c>
      <c r="I226" s="458" t="str">
        <f>+IF(K226="PT","POSTE DE TELEFONO",IF(K226="PL","POSTE DE ALUMBRADO",IF(K226="PMT","POSTE DE MEDIA TENSIÓN",0)))</f>
        <v>POSTE DE ALUMBRADO</v>
      </c>
      <c r="J226" s="566"/>
      <c r="K226" s="459" t="s">
        <v>1204</v>
      </c>
      <c r="L226" s="460" t="s">
        <v>1191</v>
      </c>
      <c r="M226" s="463">
        <f t="shared" si="45"/>
        <v>0</v>
      </c>
      <c r="N226" s="463">
        <f t="shared" si="45"/>
        <v>0</v>
      </c>
      <c r="O226" s="463">
        <f t="shared" si="45"/>
        <v>0</v>
      </c>
      <c r="P226" s="463">
        <f t="shared" si="45"/>
        <v>0</v>
      </c>
      <c r="Q226" s="463">
        <f t="shared" si="45"/>
        <v>0</v>
      </c>
      <c r="R226" s="463">
        <f t="shared" si="45"/>
        <v>0</v>
      </c>
      <c r="S226" s="463">
        <f t="shared" si="45"/>
        <v>0</v>
      </c>
      <c r="T226" s="463">
        <f t="shared" si="45"/>
        <v>0</v>
      </c>
      <c r="U226" s="463">
        <f t="shared" si="45"/>
        <v>0</v>
      </c>
      <c r="V226" s="463">
        <f t="shared" si="45"/>
        <v>0</v>
      </c>
      <c r="W226" s="463">
        <f t="shared" si="45"/>
        <v>0</v>
      </c>
      <c r="X226" s="463">
        <f t="shared" si="46"/>
        <v>0</v>
      </c>
      <c r="Y226" s="463">
        <f t="shared" si="46"/>
        <v>0</v>
      </c>
      <c r="Z226" s="463">
        <f t="shared" si="46"/>
        <v>0</v>
      </c>
      <c r="AA226" s="463">
        <f t="shared" si="46"/>
        <v>0</v>
      </c>
      <c r="AB226" s="463">
        <f t="shared" si="46"/>
        <v>1</v>
      </c>
      <c r="AC226" s="463">
        <f t="shared" si="46"/>
        <v>0</v>
      </c>
      <c r="AD226" s="463">
        <f t="shared" si="46"/>
        <v>0</v>
      </c>
      <c r="AE226" s="463">
        <f t="shared" si="46"/>
        <v>0</v>
      </c>
      <c r="AF226" s="621">
        <f t="shared" si="46"/>
        <v>0</v>
      </c>
      <c r="AG226" s="573"/>
      <c r="AH226" s="464"/>
      <c r="AI226" s="464"/>
      <c r="AJ226" s="464"/>
      <c r="AK226" s="464"/>
      <c r="AL226" s="465">
        <f>+IF($I226=AL$10,IF($L226=AL$11,#REF!,0),0)</f>
        <v>0</v>
      </c>
      <c r="AM226" s="463">
        <f>+IF($I226=AM$10,IF($L226=AM$11,#REF!,0),0)</f>
        <v>0</v>
      </c>
      <c r="AN226" s="464">
        <f>+IF($I226=AN$10,IF($L226=AN$11,#REF!,0),0)</f>
        <v>0</v>
      </c>
      <c r="AO226" s="464">
        <f>+IF($I226=AO$10,IF($L226=AO$11,#REF!,0),0)</f>
        <v>0</v>
      </c>
      <c r="AP226" s="464">
        <f>+IF($I226=AP$10,IF($L226=AP$11,#REF!,0),0)</f>
        <v>0</v>
      </c>
      <c r="AQ226" s="464">
        <f>+IF($I226=AQ$10,IF($L226=AQ$11,#REF!,0),0)</f>
        <v>0</v>
      </c>
      <c r="AR226" s="465">
        <f>+IF($I226=AR$10,IF($L226=AR$11,#REF!,0),0)</f>
        <v>0</v>
      </c>
      <c r="AS226" s="463">
        <f>+IF($I226=AS$10,IF($L226=AS$11,#REF!,0),0)</f>
        <v>0</v>
      </c>
      <c r="AT226" s="464">
        <f>+IF($I226=AT$10,IF($L226=AT$11,#REF!,0),0)</f>
        <v>0</v>
      </c>
      <c r="AU226" s="464">
        <f>+IF($I226=AU$10,IF($L226=AU$11,#REF!,0),0)</f>
        <v>0</v>
      </c>
      <c r="AV226" s="464">
        <f>+IF($I226=AV$10,IF($L226=AV$11,#REF!,0),0)</f>
        <v>0</v>
      </c>
      <c r="AW226" s="464">
        <f>+IF($I226=AW$10,IF($L226=AW$11,#REF!,0),0)</f>
        <v>0</v>
      </c>
      <c r="AX226" s="465">
        <f>+IF($I226=AX$10,IF($L226=AX$11,#REF!,0),0)</f>
        <v>0</v>
      </c>
      <c r="AY226" s="463">
        <f>+IF($I226=AY$10,IF($L226=AY$11,#REF!,0),0)</f>
        <v>0</v>
      </c>
      <c r="AZ226" s="464">
        <f>+IF($I226=AZ$10,IF($L226=AZ$11,#REF!,0),0)</f>
        <v>0</v>
      </c>
      <c r="BA226" s="464">
        <f>+IF($I226=BA$10,IF($L226=BA$11,#REF!,0),0)</f>
        <v>0</v>
      </c>
      <c r="BB226" s="464">
        <f>+IF($I226=BB$10,IF($L226=BB$11,#REF!,0),0)</f>
        <v>0</v>
      </c>
      <c r="BC226" s="464">
        <f>+IF($I226=BC$10,IF($L226=BC$11,#REF!,0),0)</f>
        <v>0</v>
      </c>
      <c r="BD226" s="465">
        <f>+IF($I226=BD$10,IF($L226=BD$11,#REF!,0),0)</f>
        <v>0</v>
      </c>
      <c r="BE226" s="463">
        <f>+IF($I226=BE$10,IF($L226=BE$11,#REF!,0),0)</f>
        <v>0</v>
      </c>
      <c r="BF226" s="464">
        <f>+IF($I226=BF$10,IF($L226=BF$11,#REF!,0),0)</f>
        <v>0</v>
      </c>
      <c r="BG226" s="464">
        <f>+IF($I226=BG$10,IF($L226=BG$11,#REF!,0),0)</f>
        <v>0</v>
      </c>
      <c r="BH226" s="464">
        <f>+IF($I226=BH$10,IF($L226=BH$11,#REF!,0),0)</f>
        <v>0</v>
      </c>
      <c r="BI226" s="464">
        <f>+IF($I226=BI$10,IF($L226=BI$11,#REF!,0),0)</f>
        <v>0</v>
      </c>
      <c r="BJ226" s="466">
        <f>+IF($I226=BJ$10,IF($L226=BJ$11,#REF!,0),0)</f>
        <v>0</v>
      </c>
    </row>
    <row r="227" spans="5:62" s="467" customFormat="1" ht="16.5" hidden="1" customHeight="1">
      <c r="E227" s="454" t="s">
        <v>1217</v>
      </c>
      <c r="F227" s="455"/>
      <c r="G227" s="456"/>
      <c r="H227" s="457" t="str">
        <f t="shared" si="16"/>
        <v>-</v>
      </c>
      <c r="I227" s="458" t="str">
        <f t="shared" ref="I227:I298" si="47">+IF(K227="PT","POSTE DE TELEFONO",IF(K227="PL","POSTE DE ALUMBRADO",IF(K227="PMT","POSTE DE MEDIA TENSIÓN",0)))</f>
        <v>POSTE DE ALUMBRADO</v>
      </c>
      <c r="J227" s="566"/>
      <c r="K227" s="459" t="s">
        <v>1204</v>
      </c>
      <c r="L227" s="460" t="s">
        <v>1191</v>
      </c>
      <c r="M227" s="463">
        <f t="shared" si="45"/>
        <v>0</v>
      </c>
      <c r="N227" s="463">
        <f t="shared" si="45"/>
        <v>0</v>
      </c>
      <c r="O227" s="463">
        <f t="shared" si="45"/>
        <v>0</v>
      </c>
      <c r="P227" s="463">
        <f t="shared" si="45"/>
        <v>0</v>
      </c>
      <c r="Q227" s="463">
        <f t="shared" si="45"/>
        <v>0</v>
      </c>
      <c r="R227" s="463">
        <f t="shared" si="45"/>
        <v>0</v>
      </c>
      <c r="S227" s="463">
        <f t="shared" si="45"/>
        <v>0</v>
      </c>
      <c r="T227" s="463">
        <f t="shared" si="45"/>
        <v>0</v>
      </c>
      <c r="U227" s="463">
        <f t="shared" si="45"/>
        <v>0</v>
      </c>
      <c r="V227" s="463">
        <f t="shared" si="45"/>
        <v>0</v>
      </c>
      <c r="W227" s="463">
        <f t="shared" si="45"/>
        <v>0</v>
      </c>
      <c r="X227" s="463">
        <f t="shared" si="46"/>
        <v>0</v>
      </c>
      <c r="Y227" s="463">
        <f t="shared" si="46"/>
        <v>0</v>
      </c>
      <c r="Z227" s="463">
        <f t="shared" si="46"/>
        <v>0</v>
      </c>
      <c r="AA227" s="463">
        <f t="shared" si="46"/>
        <v>0</v>
      </c>
      <c r="AB227" s="463">
        <f t="shared" si="46"/>
        <v>1</v>
      </c>
      <c r="AC227" s="463">
        <f t="shared" si="46"/>
        <v>0</v>
      </c>
      <c r="AD227" s="463">
        <f t="shared" si="46"/>
        <v>0</v>
      </c>
      <c r="AE227" s="463">
        <f t="shared" si="46"/>
        <v>0</v>
      </c>
      <c r="AF227" s="621">
        <f t="shared" si="46"/>
        <v>0</v>
      </c>
      <c r="AG227" s="573"/>
      <c r="AH227" s="464"/>
      <c r="AI227" s="464"/>
      <c r="AJ227" s="464"/>
      <c r="AK227" s="464"/>
      <c r="AL227" s="465">
        <f>+IF($I227=AL$10,IF($L227=AL$11,#REF!,0),0)</f>
        <v>0</v>
      </c>
      <c r="AM227" s="463">
        <f>+IF($I227=AM$10,IF($L227=AM$11,#REF!,0),0)</f>
        <v>0</v>
      </c>
      <c r="AN227" s="464">
        <f>+IF($I227=AN$10,IF($L227=AN$11,#REF!,0),0)</f>
        <v>0</v>
      </c>
      <c r="AO227" s="464">
        <f>+IF($I227=AO$10,IF($L227=AO$11,#REF!,0),0)</f>
        <v>0</v>
      </c>
      <c r="AP227" s="464">
        <f>+IF($I227=AP$10,IF($L227=AP$11,#REF!,0),0)</f>
        <v>0</v>
      </c>
      <c r="AQ227" s="464">
        <f>+IF($I227=AQ$10,IF($L227=AQ$11,#REF!,0),0)</f>
        <v>0</v>
      </c>
      <c r="AR227" s="465">
        <f>+IF($I227=AR$10,IF($L227=AR$11,#REF!,0),0)</f>
        <v>0</v>
      </c>
      <c r="AS227" s="463">
        <f>+IF($I227=AS$10,IF($L227=AS$11,#REF!,0),0)</f>
        <v>0</v>
      </c>
      <c r="AT227" s="464">
        <f>+IF($I227=AT$10,IF($L227=AT$11,#REF!,0),0)</f>
        <v>0</v>
      </c>
      <c r="AU227" s="464">
        <f>+IF($I227=AU$10,IF($L227=AU$11,#REF!,0),0)</f>
        <v>0</v>
      </c>
      <c r="AV227" s="464">
        <f>+IF($I227=AV$10,IF($L227=AV$11,#REF!,0),0)</f>
        <v>0</v>
      </c>
      <c r="AW227" s="464">
        <f>+IF($I227=AW$10,IF($L227=AW$11,#REF!,0),0)</f>
        <v>0</v>
      </c>
      <c r="AX227" s="465">
        <f>+IF($I227=AX$10,IF($L227=AX$11,#REF!,0),0)</f>
        <v>0</v>
      </c>
      <c r="AY227" s="463">
        <f>+IF($I227=AY$10,IF($L227=AY$11,#REF!,0),0)</f>
        <v>0</v>
      </c>
      <c r="AZ227" s="464">
        <f>+IF($I227=AZ$10,IF($L227=AZ$11,#REF!,0),0)</f>
        <v>0</v>
      </c>
      <c r="BA227" s="464">
        <f>+IF($I227=BA$10,IF($L227=BA$11,#REF!,0),0)</f>
        <v>0</v>
      </c>
      <c r="BB227" s="464">
        <f>+IF($I227=BB$10,IF($L227=BB$11,#REF!,0),0)</f>
        <v>0</v>
      </c>
      <c r="BC227" s="464">
        <f>+IF($I227=BC$10,IF($L227=BC$11,#REF!,0),0)</f>
        <v>0</v>
      </c>
      <c r="BD227" s="465">
        <f>+IF($I227=BD$10,IF($L227=BD$11,#REF!,0),0)</f>
        <v>0</v>
      </c>
      <c r="BE227" s="463">
        <f>+IF($I227=BE$10,IF($L227=BE$11,#REF!,0),0)</f>
        <v>0</v>
      </c>
      <c r="BF227" s="464">
        <f>+IF($I227=BF$10,IF($L227=BF$11,#REF!,0),0)</f>
        <v>0</v>
      </c>
      <c r="BG227" s="464">
        <f>+IF($I227=BG$10,IF($L227=BG$11,#REF!,0),0)</f>
        <v>0</v>
      </c>
      <c r="BH227" s="464">
        <f>+IF($I227=BH$10,IF($L227=BH$11,#REF!,0),0)</f>
        <v>0</v>
      </c>
      <c r="BI227" s="464">
        <f>+IF($I227=BI$10,IF($L227=BI$11,#REF!,0),0)</f>
        <v>0</v>
      </c>
      <c r="BJ227" s="466">
        <f>+IF($I227=BJ$10,IF($L227=BJ$11,#REF!,0),0)</f>
        <v>0</v>
      </c>
    </row>
    <row r="228" spans="5:62" s="467" customFormat="1" ht="16.5" hidden="1" customHeight="1">
      <c r="E228" s="454" t="s">
        <v>1217</v>
      </c>
      <c r="F228" s="455"/>
      <c r="G228" s="456"/>
      <c r="H228" s="457" t="str">
        <f t="shared" si="16"/>
        <v>-</v>
      </c>
      <c r="I228" s="458" t="str">
        <f t="shared" si="47"/>
        <v>POSTE DE ALUMBRADO</v>
      </c>
      <c r="J228" s="566"/>
      <c r="K228" s="459" t="s">
        <v>1204</v>
      </c>
      <c r="L228" s="460" t="s">
        <v>1191</v>
      </c>
      <c r="M228" s="463">
        <f t="shared" si="45"/>
        <v>0</v>
      </c>
      <c r="N228" s="463">
        <f t="shared" si="45"/>
        <v>0</v>
      </c>
      <c r="O228" s="463">
        <f t="shared" si="45"/>
        <v>0</v>
      </c>
      <c r="P228" s="463">
        <f t="shared" si="45"/>
        <v>0</v>
      </c>
      <c r="Q228" s="463">
        <f t="shared" si="45"/>
        <v>0</v>
      </c>
      <c r="R228" s="463">
        <f t="shared" si="45"/>
        <v>0</v>
      </c>
      <c r="S228" s="463">
        <f t="shared" si="45"/>
        <v>0</v>
      </c>
      <c r="T228" s="463">
        <f t="shared" si="45"/>
        <v>0</v>
      </c>
      <c r="U228" s="463">
        <f t="shared" si="45"/>
        <v>0</v>
      </c>
      <c r="V228" s="463">
        <f t="shared" si="45"/>
        <v>0</v>
      </c>
      <c r="W228" s="463">
        <f t="shared" si="45"/>
        <v>0</v>
      </c>
      <c r="X228" s="463">
        <f t="shared" si="46"/>
        <v>0</v>
      </c>
      <c r="Y228" s="463">
        <f t="shared" si="46"/>
        <v>0</v>
      </c>
      <c r="Z228" s="463">
        <f t="shared" si="46"/>
        <v>0</v>
      </c>
      <c r="AA228" s="463">
        <f t="shared" si="46"/>
        <v>0</v>
      </c>
      <c r="AB228" s="463">
        <f t="shared" si="46"/>
        <v>1</v>
      </c>
      <c r="AC228" s="463">
        <f t="shared" si="46"/>
        <v>0</v>
      </c>
      <c r="AD228" s="463">
        <f t="shared" si="46"/>
        <v>0</v>
      </c>
      <c r="AE228" s="463">
        <f t="shared" si="46"/>
        <v>0</v>
      </c>
      <c r="AF228" s="621">
        <f t="shared" si="46"/>
        <v>0</v>
      </c>
      <c r="AG228" s="573"/>
      <c r="AH228" s="464"/>
      <c r="AI228" s="464"/>
      <c r="AJ228" s="464"/>
      <c r="AK228" s="464"/>
      <c r="AL228" s="465">
        <f>+IF($I228=AL$10,IF($L228=AL$11,#REF!,0),0)</f>
        <v>0</v>
      </c>
      <c r="AM228" s="463">
        <f>+IF($I228=AM$10,IF($L228=AM$11,#REF!,0),0)</f>
        <v>0</v>
      </c>
      <c r="AN228" s="464">
        <f>+IF($I228=AN$10,IF($L228=AN$11,#REF!,0),0)</f>
        <v>0</v>
      </c>
      <c r="AO228" s="464">
        <f>+IF($I228=AO$10,IF($L228=AO$11,#REF!,0),0)</f>
        <v>0</v>
      </c>
      <c r="AP228" s="464">
        <f>+IF($I228=AP$10,IF($L228=AP$11,#REF!,0),0)</f>
        <v>0</v>
      </c>
      <c r="AQ228" s="464">
        <f>+IF($I228=AQ$10,IF($L228=AQ$11,#REF!,0),0)</f>
        <v>0</v>
      </c>
      <c r="AR228" s="465">
        <f>+IF($I228=AR$10,IF($L228=AR$11,#REF!,0),0)</f>
        <v>0</v>
      </c>
      <c r="AS228" s="463">
        <f>+IF($I228=AS$10,IF($L228=AS$11,#REF!,0),0)</f>
        <v>0</v>
      </c>
      <c r="AT228" s="464">
        <f>+IF($I228=AT$10,IF($L228=AT$11,#REF!,0),0)</f>
        <v>0</v>
      </c>
      <c r="AU228" s="464">
        <f>+IF($I228=AU$10,IF($L228=AU$11,#REF!,0),0)</f>
        <v>0</v>
      </c>
      <c r="AV228" s="464">
        <f>+IF($I228=AV$10,IF($L228=AV$11,#REF!,0),0)</f>
        <v>0</v>
      </c>
      <c r="AW228" s="464">
        <f>+IF($I228=AW$10,IF($L228=AW$11,#REF!,0),0)</f>
        <v>0</v>
      </c>
      <c r="AX228" s="465">
        <f>+IF($I228=AX$10,IF($L228=AX$11,#REF!,0),0)</f>
        <v>0</v>
      </c>
      <c r="AY228" s="463">
        <f>+IF($I228=AY$10,IF($L228=AY$11,#REF!,0),0)</f>
        <v>0</v>
      </c>
      <c r="AZ228" s="464">
        <f>+IF($I228=AZ$10,IF($L228=AZ$11,#REF!,0),0)</f>
        <v>0</v>
      </c>
      <c r="BA228" s="464">
        <f>+IF($I228=BA$10,IF($L228=BA$11,#REF!,0),0)</f>
        <v>0</v>
      </c>
      <c r="BB228" s="464">
        <f>+IF($I228=BB$10,IF($L228=BB$11,#REF!,0),0)</f>
        <v>0</v>
      </c>
      <c r="BC228" s="464">
        <f>+IF($I228=BC$10,IF($L228=BC$11,#REF!,0),0)</f>
        <v>0</v>
      </c>
      <c r="BD228" s="465">
        <f>+IF($I228=BD$10,IF($L228=BD$11,#REF!,0),0)</f>
        <v>0</v>
      </c>
      <c r="BE228" s="463">
        <f>+IF($I228=BE$10,IF($L228=BE$11,#REF!,0),0)</f>
        <v>0</v>
      </c>
      <c r="BF228" s="464">
        <f>+IF($I228=BF$10,IF($L228=BF$11,#REF!,0),0)</f>
        <v>0</v>
      </c>
      <c r="BG228" s="464">
        <f>+IF($I228=BG$10,IF($L228=BG$11,#REF!,0),0)</f>
        <v>0</v>
      </c>
      <c r="BH228" s="464">
        <f>+IF($I228=BH$10,IF($L228=BH$11,#REF!,0),0)</f>
        <v>0</v>
      </c>
      <c r="BI228" s="464">
        <f>+IF($I228=BI$10,IF($L228=BI$11,#REF!,0),0)</f>
        <v>0</v>
      </c>
      <c r="BJ228" s="466">
        <f>+IF($I228=BJ$10,IF($L228=BJ$11,#REF!,0),0)</f>
        <v>0</v>
      </c>
    </row>
    <row r="229" spans="5:62" s="467" customFormat="1" ht="16.5" hidden="1" customHeight="1">
      <c r="E229" s="454" t="s">
        <v>1217</v>
      </c>
      <c r="F229" s="455"/>
      <c r="G229" s="456"/>
      <c r="H229" s="457" t="str">
        <f t="shared" si="16"/>
        <v>-</v>
      </c>
      <c r="I229" s="458" t="str">
        <f t="shared" si="47"/>
        <v>POSTE DE ALUMBRADO</v>
      </c>
      <c r="J229" s="566"/>
      <c r="K229" s="459" t="s">
        <v>1204</v>
      </c>
      <c r="L229" s="460" t="s">
        <v>1191</v>
      </c>
      <c r="M229" s="463">
        <f t="shared" si="45"/>
        <v>0</v>
      </c>
      <c r="N229" s="463">
        <f t="shared" si="45"/>
        <v>0</v>
      </c>
      <c r="O229" s="463">
        <f t="shared" si="45"/>
        <v>0</v>
      </c>
      <c r="P229" s="463">
        <f t="shared" si="45"/>
        <v>0</v>
      </c>
      <c r="Q229" s="463">
        <f t="shared" si="45"/>
        <v>0</v>
      </c>
      <c r="R229" s="463">
        <f t="shared" si="45"/>
        <v>0</v>
      </c>
      <c r="S229" s="463">
        <f t="shared" si="45"/>
        <v>0</v>
      </c>
      <c r="T229" s="463">
        <f t="shared" si="45"/>
        <v>0</v>
      </c>
      <c r="U229" s="463">
        <f t="shared" si="45"/>
        <v>0</v>
      </c>
      <c r="V229" s="463">
        <f t="shared" si="45"/>
        <v>0</v>
      </c>
      <c r="W229" s="463">
        <f t="shared" si="45"/>
        <v>0</v>
      </c>
      <c r="X229" s="463">
        <f t="shared" si="46"/>
        <v>0</v>
      </c>
      <c r="Y229" s="463">
        <f t="shared" si="46"/>
        <v>0</v>
      </c>
      <c r="Z229" s="463">
        <f t="shared" si="46"/>
        <v>0</v>
      </c>
      <c r="AA229" s="463">
        <f t="shared" si="46"/>
        <v>0</v>
      </c>
      <c r="AB229" s="463">
        <f t="shared" si="46"/>
        <v>1</v>
      </c>
      <c r="AC229" s="463">
        <f t="shared" si="46"/>
        <v>0</v>
      </c>
      <c r="AD229" s="463">
        <f t="shared" si="46"/>
        <v>0</v>
      </c>
      <c r="AE229" s="463">
        <f t="shared" si="46"/>
        <v>0</v>
      </c>
      <c r="AF229" s="621">
        <f t="shared" si="46"/>
        <v>0</v>
      </c>
      <c r="AG229" s="573"/>
      <c r="AH229" s="464"/>
      <c r="AI229" s="464"/>
      <c r="AJ229" s="464"/>
      <c r="AK229" s="464"/>
      <c r="AL229" s="465">
        <f>+IF($I229=AL$10,IF($L229=AL$11,#REF!,0),0)</f>
        <v>0</v>
      </c>
      <c r="AM229" s="463">
        <f>+IF($I229=AM$10,IF($L229=AM$11,#REF!,0),0)</f>
        <v>0</v>
      </c>
      <c r="AN229" s="464">
        <f>+IF($I229=AN$10,IF($L229=AN$11,#REF!,0),0)</f>
        <v>0</v>
      </c>
      <c r="AO229" s="464">
        <f>+IF($I229=AO$10,IF($L229=AO$11,#REF!,0),0)</f>
        <v>0</v>
      </c>
      <c r="AP229" s="464">
        <f>+IF($I229=AP$10,IF($L229=AP$11,#REF!,0),0)</f>
        <v>0</v>
      </c>
      <c r="AQ229" s="464">
        <f>+IF($I229=AQ$10,IF($L229=AQ$11,#REF!,0),0)</f>
        <v>0</v>
      </c>
      <c r="AR229" s="465">
        <f>+IF($I229=AR$10,IF($L229=AR$11,#REF!,0),0)</f>
        <v>0</v>
      </c>
      <c r="AS229" s="463">
        <f>+IF($I229=AS$10,IF($L229=AS$11,#REF!,0),0)</f>
        <v>0</v>
      </c>
      <c r="AT229" s="464">
        <f>+IF($I229=AT$10,IF($L229=AT$11,#REF!,0),0)</f>
        <v>0</v>
      </c>
      <c r="AU229" s="464">
        <f>+IF($I229=AU$10,IF($L229=AU$11,#REF!,0),0)</f>
        <v>0</v>
      </c>
      <c r="AV229" s="464">
        <f>+IF($I229=AV$10,IF($L229=AV$11,#REF!,0),0)</f>
        <v>0</v>
      </c>
      <c r="AW229" s="464">
        <f>+IF($I229=AW$10,IF($L229=AW$11,#REF!,0),0)</f>
        <v>0</v>
      </c>
      <c r="AX229" s="465">
        <f>+IF($I229=AX$10,IF($L229=AX$11,#REF!,0),0)</f>
        <v>0</v>
      </c>
      <c r="AY229" s="463">
        <f>+IF($I229=AY$10,IF($L229=AY$11,#REF!,0),0)</f>
        <v>0</v>
      </c>
      <c r="AZ229" s="464">
        <f>+IF($I229=AZ$10,IF($L229=AZ$11,#REF!,0),0)</f>
        <v>0</v>
      </c>
      <c r="BA229" s="464">
        <f>+IF($I229=BA$10,IF($L229=BA$11,#REF!,0),0)</f>
        <v>0</v>
      </c>
      <c r="BB229" s="464">
        <f>+IF($I229=BB$10,IF($L229=BB$11,#REF!,0),0)</f>
        <v>0</v>
      </c>
      <c r="BC229" s="464">
        <f>+IF($I229=BC$10,IF($L229=BC$11,#REF!,0),0)</f>
        <v>0</v>
      </c>
      <c r="BD229" s="465">
        <f>+IF($I229=BD$10,IF($L229=BD$11,#REF!,0),0)</f>
        <v>0</v>
      </c>
      <c r="BE229" s="463">
        <f>+IF($I229=BE$10,IF($L229=BE$11,#REF!,0),0)</f>
        <v>0</v>
      </c>
      <c r="BF229" s="464">
        <f>+IF($I229=BF$10,IF($L229=BF$11,#REF!,0),0)</f>
        <v>0</v>
      </c>
      <c r="BG229" s="464">
        <f>+IF($I229=BG$10,IF($L229=BG$11,#REF!,0),0)</f>
        <v>0</v>
      </c>
      <c r="BH229" s="464">
        <f>+IF($I229=BH$10,IF($L229=BH$11,#REF!,0),0)</f>
        <v>0</v>
      </c>
      <c r="BI229" s="464">
        <f>+IF($I229=BI$10,IF($L229=BI$11,#REF!,0),0)</f>
        <v>0</v>
      </c>
      <c r="BJ229" s="466">
        <f>+IF($I229=BJ$10,IF($L229=BJ$11,#REF!,0),0)</f>
        <v>0</v>
      </c>
    </row>
    <row r="230" spans="5:62" s="467" customFormat="1" ht="16.5" hidden="1" customHeight="1">
      <c r="E230" s="454" t="s">
        <v>1217</v>
      </c>
      <c r="F230" s="455"/>
      <c r="G230" s="456"/>
      <c r="H230" s="457" t="str">
        <f t="shared" si="16"/>
        <v>-</v>
      </c>
      <c r="I230" s="458" t="str">
        <f t="shared" si="47"/>
        <v>POSTE DE ALUMBRADO</v>
      </c>
      <c r="J230" s="566"/>
      <c r="K230" s="459" t="s">
        <v>1204</v>
      </c>
      <c r="L230" s="460" t="s">
        <v>1191</v>
      </c>
      <c r="M230" s="463">
        <f t="shared" si="45"/>
        <v>0</v>
      </c>
      <c r="N230" s="463">
        <f t="shared" si="45"/>
        <v>0</v>
      </c>
      <c r="O230" s="463">
        <f t="shared" si="45"/>
        <v>0</v>
      </c>
      <c r="P230" s="463">
        <f t="shared" si="45"/>
        <v>0</v>
      </c>
      <c r="Q230" s="463">
        <f t="shared" si="45"/>
        <v>0</v>
      </c>
      <c r="R230" s="463">
        <f t="shared" si="45"/>
        <v>0</v>
      </c>
      <c r="S230" s="463">
        <f t="shared" si="45"/>
        <v>0</v>
      </c>
      <c r="T230" s="463">
        <f t="shared" si="45"/>
        <v>0</v>
      </c>
      <c r="U230" s="463">
        <f t="shared" si="45"/>
        <v>0</v>
      </c>
      <c r="V230" s="463">
        <f t="shared" si="45"/>
        <v>0</v>
      </c>
      <c r="W230" s="463">
        <f t="shared" si="45"/>
        <v>0</v>
      </c>
      <c r="X230" s="463">
        <f t="shared" si="46"/>
        <v>0</v>
      </c>
      <c r="Y230" s="463">
        <f t="shared" si="46"/>
        <v>0</v>
      </c>
      <c r="Z230" s="463">
        <f t="shared" si="46"/>
        <v>0</v>
      </c>
      <c r="AA230" s="463">
        <f t="shared" si="46"/>
        <v>0</v>
      </c>
      <c r="AB230" s="463">
        <f t="shared" si="46"/>
        <v>1</v>
      </c>
      <c r="AC230" s="463">
        <f t="shared" si="46"/>
        <v>0</v>
      </c>
      <c r="AD230" s="463">
        <f t="shared" si="46"/>
        <v>0</v>
      </c>
      <c r="AE230" s="463">
        <f t="shared" si="46"/>
        <v>0</v>
      </c>
      <c r="AF230" s="621">
        <f t="shared" si="46"/>
        <v>0</v>
      </c>
      <c r="AG230" s="573"/>
      <c r="AH230" s="464"/>
      <c r="AI230" s="464"/>
      <c r="AJ230" s="464"/>
      <c r="AK230" s="464"/>
      <c r="AL230" s="465">
        <f>+IF($I230=AL$10,IF($L230=AL$11,#REF!,0),0)</f>
        <v>0</v>
      </c>
      <c r="AM230" s="463">
        <f>+IF($I230=AM$10,IF($L230=AM$11,#REF!,0),0)</f>
        <v>0</v>
      </c>
      <c r="AN230" s="464">
        <f>+IF($I230=AN$10,IF($L230=AN$11,#REF!,0),0)</f>
        <v>0</v>
      </c>
      <c r="AO230" s="464">
        <f>+IF($I230=AO$10,IF($L230=AO$11,#REF!,0),0)</f>
        <v>0</v>
      </c>
      <c r="AP230" s="464">
        <v>1</v>
      </c>
      <c r="AQ230" s="464">
        <f>+IF($I230=AQ$10,IF($L230=AQ$11,#REF!,0),0)</f>
        <v>0</v>
      </c>
      <c r="AR230" s="465">
        <f>+IF($I230=AR$10,IF($L230=AR$11,#REF!,0),0)</f>
        <v>0</v>
      </c>
      <c r="AS230" s="463">
        <f>+IF($I230=AS$10,IF($L230=AS$11,#REF!,0),0)</f>
        <v>0</v>
      </c>
      <c r="AT230" s="464">
        <f>+IF($I230=AT$10,IF($L230=AT$11,#REF!,0),0)</f>
        <v>0</v>
      </c>
      <c r="AU230" s="464">
        <f>+IF($I230=AU$10,IF($L230=AU$11,#REF!,0),0)</f>
        <v>0</v>
      </c>
      <c r="AV230" s="464">
        <f>+IF($I230=AV$10,IF($L230=AV$11,#REF!,0),0)</f>
        <v>0</v>
      </c>
      <c r="AW230" s="464">
        <f>+IF($I230=AW$10,IF($L230=AW$11,#REF!,0),0)</f>
        <v>0</v>
      </c>
      <c r="AX230" s="465">
        <f>+IF($I230=AX$10,IF($L230=AX$11,#REF!,0),0)</f>
        <v>0</v>
      </c>
      <c r="AY230" s="463">
        <f>+IF($I230=AY$10,IF($L230=AY$11,#REF!,0),0)</f>
        <v>0</v>
      </c>
      <c r="AZ230" s="464">
        <f>+IF($I230=AZ$10,IF($L230=AZ$11,#REF!,0),0)</f>
        <v>0</v>
      </c>
      <c r="BA230" s="464">
        <f>+IF($I230=BA$10,IF($L230=BA$11,#REF!,0),0)</f>
        <v>0</v>
      </c>
      <c r="BB230" s="464">
        <f>+IF($I230=BB$10,IF($L230=BB$11,#REF!,0),0)</f>
        <v>0</v>
      </c>
      <c r="BC230" s="464">
        <f>+IF($I230=BC$10,IF($L230=BC$11,#REF!,0),0)</f>
        <v>0</v>
      </c>
      <c r="BD230" s="465">
        <f>+IF($I230=BD$10,IF($L230=BD$11,#REF!,0),0)</f>
        <v>0</v>
      </c>
      <c r="BE230" s="463">
        <f>+IF($I230=BE$10,IF($L230=BE$11,#REF!,0),0)</f>
        <v>0</v>
      </c>
      <c r="BF230" s="464">
        <f>+IF($I230=BF$10,IF($L230=BF$11,#REF!,0),0)</f>
        <v>0</v>
      </c>
      <c r="BG230" s="464">
        <f>+IF($I230=BG$10,IF($L230=BG$11,#REF!,0),0)</f>
        <v>0</v>
      </c>
      <c r="BH230" s="464">
        <f>+IF($I230=BH$10,IF($L230=BH$11,#REF!,0),0)</f>
        <v>0</v>
      </c>
      <c r="BI230" s="464">
        <f>+IF($I230=BI$10,IF($L230=BI$11,#REF!,0),0)</f>
        <v>0</v>
      </c>
      <c r="BJ230" s="466">
        <f>+IF($I230=BJ$10,IF($L230=BJ$11,#REF!,0),0)</f>
        <v>0</v>
      </c>
    </row>
    <row r="231" spans="5:62" s="467" customFormat="1" ht="16.5" hidden="1" customHeight="1">
      <c r="E231" s="454" t="s">
        <v>1217</v>
      </c>
      <c r="F231" s="455"/>
      <c r="G231" s="456"/>
      <c r="H231" s="457" t="str">
        <f t="shared" si="16"/>
        <v>-</v>
      </c>
      <c r="I231" s="458" t="str">
        <f t="shared" si="47"/>
        <v>POSTE DE ALUMBRADO</v>
      </c>
      <c r="J231" s="566"/>
      <c r="K231" s="459" t="s">
        <v>1204</v>
      </c>
      <c r="L231" s="460" t="s">
        <v>1191</v>
      </c>
      <c r="M231" s="463">
        <f t="shared" si="45"/>
        <v>0</v>
      </c>
      <c r="N231" s="463">
        <f t="shared" si="45"/>
        <v>0</v>
      </c>
      <c r="O231" s="463">
        <f t="shared" si="45"/>
        <v>0</v>
      </c>
      <c r="P231" s="463">
        <f t="shared" si="45"/>
        <v>0</v>
      </c>
      <c r="Q231" s="463">
        <f t="shared" si="45"/>
        <v>0</v>
      </c>
      <c r="R231" s="463">
        <f t="shared" si="45"/>
        <v>0</v>
      </c>
      <c r="S231" s="463">
        <f t="shared" si="45"/>
        <v>0</v>
      </c>
      <c r="T231" s="463">
        <f t="shared" si="45"/>
        <v>0</v>
      </c>
      <c r="U231" s="463">
        <f t="shared" si="45"/>
        <v>0</v>
      </c>
      <c r="V231" s="463">
        <f t="shared" si="45"/>
        <v>0</v>
      </c>
      <c r="W231" s="463">
        <f t="shared" si="45"/>
        <v>0</v>
      </c>
      <c r="X231" s="463">
        <f t="shared" si="46"/>
        <v>0</v>
      </c>
      <c r="Y231" s="463">
        <f t="shared" si="46"/>
        <v>0</v>
      </c>
      <c r="Z231" s="463">
        <f t="shared" si="46"/>
        <v>0</v>
      </c>
      <c r="AA231" s="463">
        <f t="shared" si="46"/>
        <v>0</v>
      </c>
      <c r="AB231" s="463">
        <f t="shared" si="46"/>
        <v>1</v>
      </c>
      <c r="AC231" s="463">
        <f t="shared" si="46"/>
        <v>0</v>
      </c>
      <c r="AD231" s="463">
        <f t="shared" si="46"/>
        <v>0</v>
      </c>
      <c r="AE231" s="463">
        <f t="shared" si="46"/>
        <v>0</v>
      </c>
      <c r="AF231" s="621">
        <f t="shared" si="46"/>
        <v>0</v>
      </c>
      <c r="AG231" s="573"/>
      <c r="AH231" s="464"/>
      <c r="AI231" s="464"/>
      <c r="AJ231" s="464"/>
      <c r="AK231" s="464"/>
      <c r="AL231" s="465">
        <f>+IF($I231=AL$10,IF($L231=AL$11,#REF!,0),0)</f>
        <v>0</v>
      </c>
      <c r="AM231" s="463">
        <f>+IF($I231=AM$10,IF($L231=AM$11,#REF!,0),0)</f>
        <v>0</v>
      </c>
      <c r="AN231" s="464">
        <f>+IF($I231=AN$10,IF($L231=AN$11,#REF!,0),0)</f>
        <v>0</v>
      </c>
      <c r="AO231" s="464">
        <f>+IF($I231=AO$10,IF($L231=AO$11,#REF!,0),0)</f>
        <v>0</v>
      </c>
      <c r="AP231" s="464">
        <f>+IF($I231=AP$10,IF($L231=AP$11,#REF!,0),0)</f>
        <v>0</v>
      </c>
      <c r="AQ231" s="464">
        <f>+IF($I231=AQ$10,IF($L231=AQ$11,#REF!,0),0)</f>
        <v>0</v>
      </c>
      <c r="AR231" s="465">
        <f>+IF($I231=AR$10,IF($L231=AR$11,#REF!,0),0)</f>
        <v>0</v>
      </c>
      <c r="AS231" s="463">
        <f>+IF($I231=AS$10,IF($L231=AS$11,#REF!,0),0)</f>
        <v>0</v>
      </c>
      <c r="AT231" s="464">
        <f>+IF($I231=AT$10,IF($L231=AT$11,#REF!,0),0)</f>
        <v>0</v>
      </c>
      <c r="AU231" s="464">
        <f>+IF($I231=AU$10,IF($L231=AU$11,#REF!,0),0)</f>
        <v>0</v>
      </c>
      <c r="AV231" s="464">
        <v>1</v>
      </c>
      <c r="AW231" s="464">
        <f>+IF($I231=AW$10,IF($L231=AW$11,#REF!,0),0)</f>
        <v>0</v>
      </c>
      <c r="AX231" s="465">
        <f>+IF($I231=AX$10,IF($L231=AX$11,#REF!,0),0)</f>
        <v>0</v>
      </c>
      <c r="AY231" s="463">
        <f>+IF($I231=AY$10,IF($L231=AY$11,#REF!,0),0)</f>
        <v>0</v>
      </c>
      <c r="AZ231" s="464">
        <f>+IF($I231=AZ$10,IF($L231=AZ$11,#REF!,0),0)</f>
        <v>0</v>
      </c>
      <c r="BA231" s="464">
        <f>+IF($I231=BA$10,IF($L231=BA$11,#REF!,0),0)</f>
        <v>0</v>
      </c>
      <c r="BB231" s="464">
        <f>+IF($I231=BB$10,IF($L231=BB$11,#REF!,0),0)</f>
        <v>0</v>
      </c>
      <c r="BC231" s="464">
        <f>+IF($I231=BC$10,IF($L231=BC$11,#REF!,0),0)</f>
        <v>0</v>
      </c>
      <c r="BD231" s="465">
        <f>+IF($I231=BD$10,IF($L231=BD$11,#REF!,0),0)</f>
        <v>0</v>
      </c>
      <c r="BE231" s="463">
        <f>+IF($I231=BE$10,IF($L231=BE$11,#REF!,0),0)</f>
        <v>0</v>
      </c>
      <c r="BF231" s="464">
        <f>+IF($I231=BF$10,IF($L231=BF$11,#REF!,0),0)</f>
        <v>0</v>
      </c>
      <c r="BG231" s="464">
        <f>+IF($I231=BG$10,IF($L231=BG$11,#REF!,0),0)</f>
        <v>0</v>
      </c>
      <c r="BH231" s="464">
        <f>+IF($I231=BH$10,IF($L231=BH$11,#REF!,0),0)</f>
        <v>0</v>
      </c>
      <c r="BI231" s="464">
        <f>+IF($I231=BI$10,IF($L231=BI$11,#REF!,0),0)</f>
        <v>0</v>
      </c>
      <c r="BJ231" s="466">
        <f>+IF($I231=BJ$10,IF($L231=BJ$11,#REF!,0),0)</f>
        <v>0</v>
      </c>
    </row>
    <row r="232" spans="5:62" s="467" customFormat="1" ht="16.5" hidden="1" customHeight="1">
      <c r="E232" s="454" t="s">
        <v>1217</v>
      </c>
      <c r="F232" s="455"/>
      <c r="G232" s="456"/>
      <c r="H232" s="457" t="str">
        <f t="shared" si="16"/>
        <v>-</v>
      </c>
      <c r="I232" s="458" t="str">
        <f t="shared" si="47"/>
        <v>POSTE DE ALUMBRADO</v>
      </c>
      <c r="J232" s="566"/>
      <c r="K232" s="459" t="s">
        <v>1204</v>
      </c>
      <c r="L232" s="460" t="s">
        <v>1191</v>
      </c>
      <c r="M232" s="463">
        <f t="shared" si="45"/>
        <v>0</v>
      </c>
      <c r="N232" s="463">
        <f t="shared" si="45"/>
        <v>0</v>
      </c>
      <c r="O232" s="463">
        <f t="shared" si="45"/>
        <v>0</v>
      </c>
      <c r="P232" s="463">
        <f t="shared" si="45"/>
        <v>0</v>
      </c>
      <c r="Q232" s="463">
        <f t="shared" si="45"/>
        <v>0</v>
      </c>
      <c r="R232" s="463">
        <f t="shared" si="45"/>
        <v>0</v>
      </c>
      <c r="S232" s="463">
        <f t="shared" si="45"/>
        <v>0</v>
      </c>
      <c r="T232" s="463">
        <f t="shared" si="45"/>
        <v>0</v>
      </c>
      <c r="U232" s="463">
        <f t="shared" si="45"/>
        <v>0</v>
      </c>
      <c r="V232" s="463">
        <f t="shared" si="45"/>
        <v>0</v>
      </c>
      <c r="W232" s="463">
        <f t="shared" si="45"/>
        <v>0</v>
      </c>
      <c r="X232" s="463">
        <f t="shared" si="46"/>
        <v>0</v>
      </c>
      <c r="Y232" s="463">
        <f t="shared" si="46"/>
        <v>0</v>
      </c>
      <c r="Z232" s="463">
        <f t="shared" si="46"/>
        <v>0</v>
      </c>
      <c r="AA232" s="463">
        <f t="shared" si="46"/>
        <v>0</v>
      </c>
      <c r="AB232" s="463">
        <f t="shared" si="46"/>
        <v>1</v>
      </c>
      <c r="AC232" s="463">
        <f t="shared" si="46"/>
        <v>0</v>
      </c>
      <c r="AD232" s="463">
        <f t="shared" si="46"/>
        <v>0</v>
      </c>
      <c r="AE232" s="463">
        <f t="shared" si="46"/>
        <v>0</v>
      </c>
      <c r="AF232" s="621">
        <f t="shared" si="46"/>
        <v>0</v>
      </c>
      <c r="AG232" s="573"/>
      <c r="AH232" s="464"/>
      <c r="AI232" s="464"/>
      <c r="AJ232" s="464"/>
      <c r="AK232" s="464"/>
      <c r="AL232" s="465">
        <f>+IF($I232=AL$10,IF($L232=AL$11,#REF!,0),0)</f>
        <v>0</v>
      </c>
      <c r="AM232" s="463">
        <f>+IF($I232=AM$10,IF($L232=AM$11,#REF!,0),0)</f>
        <v>0</v>
      </c>
      <c r="AN232" s="464">
        <f>+IF($I232=AN$10,IF($L232=AN$11,#REF!,0),0)</f>
        <v>0</v>
      </c>
      <c r="AO232" s="464">
        <f>+IF($I232=AO$10,IF($L232=AO$11,#REF!,0),0)</f>
        <v>0</v>
      </c>
      <c r="AP232" s="464">
        <f>+IF($I232=AP$10,IF($L232=AP$11,#REF!,0),0)</f>
        <v>0</v>
      </c>
      <c r="AQ232" s="464">
        <f>+IF($I232=AQ$10,IF($L232=AQ$11,#REF!,0),0)</f>
        <v>0</v>
      </c>
      <c r="AR232" s="465">
        <f>+IF($I232=AR$10,IF($L232=AR$11,#REF!,0),0)</f>
        <v>0</v>
      </c>
      <c r="AS232" s="463">
        <f>+IF($I232=AS$10,IF($L232=AS$11,#REF!,0),0)</f>
        <v>0</v>
      </c>
      <c r="AT232" s="464">
        <f>+IF($I232=AT$10,IF($L232=AT$11,#REF!,0),0)</f>
        <v>0</v>
      </c>
      <c r="AU232" s="464">
        <f>+IF($I232=AU$10,IF($L232=AU$11,#REF!,0),0)</f>
        <v>0</v>
      </c>
      <c r="AV232" s="464">
        <f>+IF($I232=AV$10,IF($L232=AV$11,#REF!,0),0)</f>
        <v>0</v>
      </c>
      <c r="AW232" s="464">
        <f>+IF($I232=AW$10,IF($L232=AW$11,#REF!,0),0)</f>
        <v>0</v>
      </c>
      <c r="AX232" s="465">
        <f>+IF($I232=AX$10,IF($L232=AX$11,#REF!,0),0)</f>
        <v>0</v>
      </c>
      <c r="AY232" s="463">
        <v>1</v>
      </c>
      <c r="AZ232" s="464">
        <f>+IF($I232=AZ$10,IF($L232=AZ$11,#REF!,0),0)</f>
        <v>0</v>
      </c>
      <c r="BA232" s="464">
        <f>+IF($I232=BA$10,IF($L232=BA$11,#REF!,0),0)</f>
        <v>0</v>
      </c>
      <c r="BB232" s="464">
        <f>+IF($I232=BB$10,IF($L232=BB$11,#REF!,0),0)</f>
        <v>0</v>
      </c>
      <c r="BC232" s="464">
        <f>+IF($I232=BC$10,IF($L232=BC$11,#REF!,0),0)</f>
        <v>0</v>
      </c>
      <c r="BD232" s="465">
        <f>+IF($I232=BD$10,IF($L232=BD$11,#REF!,0),0)</f>
        <v>0</v>
      </c>
      <c r="BE232" s="463">
        <f>+IF($I232=BE$10,IF($L232=BE$11,#REF!,0),0)</f>
        <v>0</v>
      </c>
      <c r="BF232" s="464">
        <f>+IF($I232=BF$10,IF($L232=BF$11,#REF!,0),0)</f>
        <v>0</v>
      </c>
      <c r="BG232" s="464">
        <f>+IF($I232=BG$10,IF($L232=BG$11,#REF!,0),0)</f>
        <v>0</v>
      </c>
      <c r="BH232" s="464">
        <f>+IF($I232=BH$10,IF($L232=BH$11,#REF!,0),0)</f>
        <v>0</v>
      </c>
      <c r="BI232" s="464">
        <f>+IF($I232=BI$10,IF($L232=BI$11,#REF!,0),0)</f>
        <v>0</v>
      </c>
      <c r="BJ232" s="466">
        <f>+IF($I232=BJ$10,IF($L232=BJ$11,#REF!,0),0)</f>
        <v>0</v>
      </c>
    </row>
    <row r="233" spans="5:62" s="467" customFormat="1" ht="16.5" hidden="1" customHeight="1">
      <c r="E233" s="454" t="s">
        <v>1217</v>
      </c>
      <c r="F233" s="455"/>
      <c r="G233" s="456"/>
      <c r="H233" s="457" t="str">
        <f t="shared" si="16"/>
        <v>-</v>
      </c>
      <c r="I233" s="458" t="str">
        <f t="shared" si="47"/>
        <v>POSTE DE TELEFONO</v>
      </c>
      <c r="J233" s="566"/>
      <c r="K233" s="459" t="s">
        <v>1203</v>
      </c>
      <c r="L233" s="460" t="s">
        <v>1191</v>
      </c>
      <c r="M233" s="463">
        <f t="shared" si="45"/>
        <v>0</v>
      </c>
      <c r="N233" s="463">
        <f t="shared" si="45"/>
        <v>0</v>
      </c>
      <c r="O233" s="463">
        <f t="shared" si="45"/>
        <v>0</v>
      </c>
      <c r="P233" s="463">
        <f t="shared" si="45"/>
        <v>0</v>
      </c>
      <c r="Q233" s="463">
        <f t="shared" si="45"/>
        <v>0</v>
      </c>
      <c r="R233" s="463">
        <f t="shared" si="45"/>
        <v>0</v>
      </c>
      <c r="S233" s="463">
        <f t="shared" si="45"/>
        <v>0</v>
      </c>
      <c r="T233" s="463">
        <f t="shared" si="45"/>
        <v>0</v>
      </c>
      <c r="U233" s="463">
        <f t="shared" si="45"/>
        <v>0</v>
      </c>
      <c r="V233" s="463">
        <f t="shared" si="45"/>
        <v>0</v>
      </c>
      <c r="W233" s="463">
        <f t="shared" si="45"/>
        <v>0</v>
      </c>
      <c r="X233" s="463">
        <f t="shared" si="46"/>
        <v>0</v>
      </c>
      <c r="Y233" s="463">
        <f t="shared" si="46"/>
        <v>0</v>
      </c>
      <c r="Z233" s="463">
        <f t="shared" si="46"/>
        <v>0</v>
      </c>
      <c r="AA233" s="463">
        <f t="shared" si="46"/>
        <v>1</v>
      </c>
      <c r="AB233" s="463">
        <f t="shared" si="46"/>
        <v>0</v>
      </c>
      <c r="AC233" s="463">
        <f t="shared" si="46"/>
        <v>0</v>
      </c>
      <c r="AD233" s="463">
        <f t="shared" si="46"/>
        <v>0</v>
      </c>
      <c r="AE233" s="463">
        <f t="shared" si="46"/>
        <v>0</v>
      </c>
      <c r="AF233" s="621">
        <f t="shared" si="46"/>
        <v>0</v>
      </c>
      <c r="AG233" s="573"/>
      <c r="AH233" s="464"/>
      <c r="AI233" s="464"/>
      <c r="AJ233" s="464"/>
      <c r="AK233" s="464"/>
      <c r="AL233" s="465">
        <f>+IF($I233=AL$10,IF($L233=AL$11,#REF!,0),0)</f>
        <v>0</v>
      </c>
      <c r="AM233" s="463">
        <f>+IF($I233=AM$10,IF($L233=AM$11,#REF!,0),0)</f>
        <v>0</v>
      </c>
      <c r="AN233" s="464">
        <f>+IF($I233=AN$10,IF($L233=AN$11,#REF!,0),0)</f>
        <v>0</v>
      </c>
      <c r="AO233" s="464">
        <f>+IF($I233=AO$10,IF($L233=AO$11,#REF!,0),0)</f>
        <v>0</v>
      </c>
      <c r="AP233" s="464">
        <f>+IF($I233=AP$10,IF($L233=AP$11,#REF!,0),0)</f>
        <v>0</v>
      </c>
      <c r="AQ233" s="464">
        <f>+IF($I233=AQ$10,IF($L233=AQ$11,#REF!,0),0)</f>
        <v>0</v>
      </c>
      <c r="AR233" s="465">
        <f>+IF($I233=AR$10,IF($L233=AR$11,#REF!,0),0)</f>
        <v>0</v>
      </c>
      <c r="AS233" s="463">
        <f>+IF($I233=AS$10,IF($L233=AS$11,#REF!,0),0)</f>
        <v>0</v>
      </c>
      <c r="AT233" s="464">
        <f>+IF($I233=AT$10,IF($L233=AT$11,#REF!,0),0)</f>
        <v>0</v>
      </c>
      <c r="AU233" s="464">
        <f>+IF($I233=AU$10,IF($L233=AU$11,#REF!,0),0)</f>
        <v>0</v>
      </c>
      <c r="AV233" s="464">
        <f>+IF($I233=AV$10,IF($L233=AV$11,#REF!,0),0)</f>
        <v>0</v>
      </c>
      <c r="AW233" s="464">
        <f>+IF($I233=AW$10,IF($L233=AW$11,#REF!,0),0)</f>
        <v>0</v>
      </c>
      <c r="AX233" s="465">
        <f>+IF($I233=AX$10,IF($L233=AX$11,#REF!,0),0)</f>
        <v>0</v>
      </c>
      <c r="AY233" s="463">
        <f>+IF($I233=AY$10,IF($L233=AY$11,#REF!,0),0)</f>
        <v>0</v>
      </c>
      <c r="AZ233" s="464">
        <f>+IF($I233=AZ$10,IF($L233=AZ$11,#REF!,0),0)</f>
        <v>0</v>
      </c>
      <c r="BA233" s="464">
        <v>1</v>
      </c>
      <c r="BB233" s="464">
        <f>+IF($I233=BB$10,IF($L233=BB$11,#REF!,0),0)</f>
        <v>0</v>
      </c>
      <c r="BC233" s="464">
        <f>+IF($I233=BC$10,IF($L233=BC$11,#REF!,0),0)</f>
        <v>0</v>
      </c>
      <c r="BD233" s="465">
        <f>+IF($I233=BD$10,IF($L233=BD$11,#REF!,0),0)</f>
        <v>0</v>
      </c>
      <c r="BE233" s="463">
        <f>+IF($I233=BE$10,IF($L233=BE$11,#REF!,0),0)</f>
        <v>0</v>
      </c>
      <c r="BF233" s="464">
        <f>+IF($I233=BF$10,IF($L233=BF$11,#REF!,0),0)</f>
        <v>0</v>
      </c>
      <c r="BG233" s="464">
        <f>+IF($I233=BG$10,IF($L233=BG$11,#REF!,0),0)</f>
        <v>0</v>
      </c>
      <c r="BH233" s="464">
        <f>+IF($I233=BH$10,IF($L233=BH$11,#REF!,0),0)</f>
        <v>0</v>
      </c>
      <c r="BI233" s="464">
        <f>+IF($I233=BI$10,IF($L233=BI$11,#REF!,0),0)</f>
        <v>0</v>
      </c>
      <c r="BJ233" s="466">
        <f>+IF($I233=BJ$10,IF($L233=BJ$11,#REF!,0),0)</f>
        <v>0</v>
      </c>
    </row>
    <row r="234" spans="5:62" s="467" customFormat="1" ht="16.5" hidden="1" customHeight="1">
      <c r="E234" s="454" t="s">
        <v>1217</v>
      </c>
      <c r="F234" s="455"/>
      <c r="G234" s="456"/>
      <c r="H234" s="457" t="str">
        <f t="shared" si="16"/>
        <v>-</v>
      </c>
      <c r="I234" s="458" t="str">
        <f t="shared" si="47"/>
        <v>POSTE DE TELEFONO</v>
      </c>
      <c r="J234" s="566"/>
      <c r="K234" s="459" t="s">
        <v>1203</v>
      </c>
      <c r="L234" s="460" t="s">
        <v>1191</v>
      </c>
      <c r="M234" s="463">
        <f t="shared" si="45"/>
        <v>0</v>
      </c>
      <c r="N234" s="463">
        <f t="shared" si="45"/>
        <v>0</v>
      </c>
      <c r="O234" s="463">
        <f t="shared" si="45"/>
        <v>0</v>
      </c>
      <c r="P234" s="463">
        <f t="shared" si="45"/>
        <v>0</v>
      </c>
      <c r="Q234" s="463">
        <f t="shared" si="45"/>
        <v>0</v>
      </c>
      <c r="R234" s="463">
        <f t="shared" si="45"/>
        <v>0</v>
      </c>
      <c r="S234" s="463">
        <f t="shared" si="45"/>
        <v>0</v>
      </c>
      <c r="T234" s="463">
        <f t="shared" si="45"/>
        <v>0</v>
      </c>
      <c r="U234" s="463">
        <f t="shared" si="45"/>
        <v>0</v>
      </c>
      <c r="V234" s="463">
        <f t="shared" si="45"/>
        <v>0</v>
      </c>
      <c r="W234" s="463">
        <f t="shared" si="45"/>
        <v>0</v>
      </c>
      <c r="X234" s="463">
        <f t="shared" si="46"/>
        <v>0</v>
      </c>
      <c r="Y234" s="463">
        <f t="shared" si="46"/>
        <v>0</v>
      </c>
      <c r="Z234" s="463">
        <f t="shared" si="46"/>
        <v>0</v>
      </c>
      <c r="AA234" s="463">
        <f t="shared" si="46"/>
        <v>1</v>
      </c>
      <c r="AB234" s="463">
        <f t="shared" si="46"/>
        <v>0</v>
      </c>
      <c r="AC234" s="463">
        <f t="shared" si="46"/>
        <v>0</v>
      </c>
      <c r="AD234" s="463">
        <f t="shared" si="46"/>
        <v>0</v>
      </c>
      <c r="AE234" s="463">
        <f t="shared" si="46"/>
        <v>0</v>
      </c>
      <c r="AF234" s="621">
        <f t="shared" si="46"/>
        <v>0</v>
      </c>
      <c r="AG234" s="573"/>
      <c r="AH234" s="464"/>
      <c r="AI234" s="464"/>
      <c r="AJ234" s="464"/>
      <c r="AK234" s="464"/>
      <c r="AL234" s="465">
        <f>+IF($I234=AL$10,IF($L234=AL$11,#REF!,0),0)</f>
        <v>0</v>
      </c>
      <c r="AM234" s="463">
        <f>+IF($I234=AM$10,IF($L234=AM$11,#REF!,0),0)</f>
        <v>0</v>
      </c>
      <c r="AN234" s="464">
        <f>+IF($I234=AN$10,IF($L234=AN$11,#REF!,0),0)</f>
        <v>0</v>
      </c>
      <c r="AO234" s="464">
        <f>+IF($I234=AO$10,IF($L234=AO$11,#REF!,0),0)</f>
        <v>0</v>
      </c>
      <c r="AP234" s="464">
        <f>+IF($I234=AP$10,IF($L234=AP$11,#REF!,0),0)</f>
        <v>0</v>
      </c>
      <c r="AQ234" s="464">
        <f>+IF($I234=AQ$10,IF($L234=AQ$11,#REF!,0),0)</f>
        <v>0</v>
      </c>
      <c r="AR234" s="465">
        <f>+IF($I234=AR$10,IF($L234=AR$11,#REF!,0),0)</f>
        <v>0</v>
      </c>
      <c r="AS234" s="463">
        <f>+IF($I234=AS$10,IF($L234=AS$11,#REF!,0),0)</f>
        <v>0</v>
      </c>
      <c r="AT234" s="464">
        <f>+IF($I234=AT$10,IF($L234=AT$11,#REF!,0),0)</f>
        <v>0</v>
      </c>
      <c r="AU234" s="464">
        <f>+IF($I234=AU$10,IF($L234=AU$11,#REF!,0),0)</f>
        <v>0</v>
      </c>
      <c r="AV234" s="464">
        <f>+IF($I234=AV$10,IF($L234=AV$11,#REF!,0),0)</f>
        <v>0</v>
      </c>
      <c r="AW234" s="464">
        <f>+IF($I234=AW$10,IF($L234=AW$11,#REF!,0),0)</f>
        <v>0</v>
      </c>
      <c r="AX234" s="465">
        <f>+IF($I234=AX$10,IF($L234=AX$11,#REF!,0),0)</f>
        <v>0</v>
      </c>
      <c r="AY234" s="463">
        <f>+IF($I234=AY$10,IF($L234=AY$11,#REF!,0),0)</f>
        <v>0</v>
      </c>
      <c r="AZ234" s="464">
        <f>+IF($I234=AZ$10,IF($L234=AZ$11,#REF!,0),0)</f>
        <v>0</v>
      </c>
      <c r="BA234" s="464">
        <f>+IF($I234=BA$10,IF($L234=BA$11,#REF!,0),0)</f>
        <v>0</v>
      </c>
      <c r="BB234" s="464">
        <v>1</v>
      </c>
      <c r="BC234" s="464">
        <f>+IF($I234=BC$10,IF($L234=BC$11,#REF!,0),0)</f>
        <v>0</v>
      </c>
      <c r="BD234" s="465">
        <f>+IF($I234=BD$10,IF($L234=BD$11,#REF!,0),0)</f>
        <v>0</v>
      </c>
      <c r="BE234" s="463">
        <f>+IF($I234=BE$10,IF($L234=BE$11,#REF!,0),0)</f>
        <v>0</v>
      </c>
      <c r="BF234" s="464">
        <f>+IF($I234=BF$10,IF($L234=BF$11,#REF!,0),0)</f>
        <v>0</v>
      </c>
      <c r="BG234" s="464">
        <f>+IF($I234=BG$10,IF($L234=BG$11,#REF!,0),0)</f>
        <v>0</v>
      </c>
      <c r="BH234" s="464">
        <f>+IF($I234=BH$10,IF($L234=BH$11,#REF!,0),0)</f>
        <v>0</v>
      </c>
      <c r="BI234" s="464">
        <f>+IF($I234=BI$10,IF($L234=BI$11,#REF!,0),0)</f>
        <v>0</v>
      </c>
      <c r="BJ234" s="466">
        <f>+IF($I234=BJ$10,IF($L234=BJ$11,#REF!,0),0)</f>
        <v>0</v>
      </c>
    </row>
    <row r="235" spans="5:62" s="467" customFormat="1" ht="16.5" hidden="1" customHeight="1">
      <c r="E235" s="454" t="s">
        <v>1217</v>
      </c>
      <c r="F235" s="455"/>
      <c r="G235" s="456"/>
      <c r="H235" s="457" t="str">
        <f t="shared" ref="H235:H247" si="48">+CONCATENATE(F235,"-",G235)</f>
        <v>-</v>
      </c>
      <c r="I235" s="458" t="str">
        <f t="shared" si="47"/>
        <v>POSTE DE TELEFONO</v>
      </c>
      <c r="J235" s="566"/>
      <c r="K235" s="571" t="s">
        <v>1203</v>
      </c>
      <c r="L235" s="460" t="s">
        <v>1191</v>
      </c>
      <c r="M235" s="463">
        <f t="shared" si="33"/>
        <v>0</v>
      </c>
      <c r="N235" s="463">
        <f t="shared" si="33"/>
        <v>0</v>
      </c>
      <c r="O235" s="463">
        <f t="shared" si="33"/>
        <v>0</v>
      </c>
      <c r="P235" s="463">
        <f t="shared" si="33"/>
        <v>0</v>
      </c>
      <c r="Q235" s="463">
        <f t="shared" si="33"/>
        <v>0</v>
      </c>
      <c r="R235" s="463">
        <f t="shared" si="33"/>
        <v>0</v>
      </c>
      <c r="S235" s="463">
        <f t="shared" si="33"/>
        <v>0</v>
      </c>
      <c r="T235" s="463">
        <f t="shared" si="33"/>
        <v>0</v>
      </c>
      <c r="U235" s="463">
        <f t="shared" si="33"/>
        <v>0</v>
      </c>
      <c r="V235" s="463">
        <f t="shared" si="33"/>
        <v>0</v>
      </c>
      <c r="W235" s="463">
        <f t="shared" si="33"/>
        <v>0</v>
      </c>
      <c r="X235" s="463">
        <f t="shared" si="34"/>
        <v>0</v>
      </c>
      <c r="Y235" s="463">
        <f t="shared" si="34"/>
        <v>0</v>
      </c>
      <c r="Z235" s="463">
        <f t="shared" si="34"/>
        <v>0</v>
      </c>
      <c r="AA235" s="463">
        <f t="shared" si="34"/>
        <v>1</v>
      </c>
      <c r="AB235" s="463">
        <f t="shared" si="34"/>
        <v>0</v>
      </c>
      <c r="AC235" s="463">
        <f t="shared" si="34"/>
        <v>0</v>
      </c>
      <c r="AD235" s="463">
        <f t="shared" si="34"/>
        <v>0</v>
      </c>
      <c r="AE235" s="463">
        <f t="shared" si="34"/>
        <v>0</v>
      </c>
      <c r="AF235" s="621">
        <f t="shared" si="34"/>
        <v>0</v>
      </c>
      <c r="AG235" s="573"/>
      <c r="AH235" s="464"/>
      <c r="AI235" s="464"/>
      <c r="AJ235" s="464"/>
      <c r="AK235" s="464"/>
      <c r="AL235" s="465"/>
      <c r="AM235" s="463"/>
      <c r="AN235" s="464"/>
      <c r="AO235" s="464"/>
      <c r="AP235" s="464"/>
      <c r="AQ235" s="464"/>
      <c r="AR235" s="465"/>
      <c r="AS235" s="463"/>
      <c r="AT235" s="464"/>
      <c r="AU235" s="464"/>
      <c r="AV235" s="464"/>
      <c r="AW235" s="464"/>
      <c r="AX235" s="465"/>
      <c r="AY235" s="463"/>
      <c r="AZ235" s="464"/>
      <c r="BA235" s="464"/>
      <c r="BB235" s="464"/>
      <c r="BC235" s="464"/>
      <c r="BD235" s="465"/>
      <c r="BE235" s="463"/>
      <c r="BF235" s="464"/>
      <c r="BG235" s="464"/>
      <c r="BH235" s="464">
        <f>+IF($I235=BH$10,IF($L235=BH$11,#REF!,0),0)</f>
        <v>0</v>
      </c>
      <c r="BI235" s="464">
        <f>+IF($I235=BI$10,IF($L235=BI$11,#REF!,0),0)</f>
        <v>0</v>
      </c>
      <c r="BJ235" s="466">
        <f>+IF($I235=BJ$10,IF($L235=BJ$11,#REF!,0),0)</f>
        <v>0</v>
      </c>
    </row>
    <row r="236" spans="5:62" s="467" customFormat="1" ht="16.5" hidden="1" customHeight="1">
      <c r="E236" s="454" t="s">
        <v>1217</v>
      </c>
      <c r="F236" s="455"/>
      <c r="G236" s="456"/>
      <c r="H236" s="457" t="str">
        <f t="shared" si="48"/>
        <v>-</v>
      </c>
      <c r="I236" s="458" t="str">
        <f t="shared" si="47"/>
        <v>POSTE DE TELEFONO</v>
      </c>
      <c r="J236" s="566"/>
      <c r="K236" s="571" t="s">
        <v>1203</v>
      </c>
      <c r="L236" s="460" t="s">
        <v>1191</v>
      </c>
      <c r="M236" s="463">
        <f t="shared" si="33"/>
        <v>0</v>
      </c>
      <c r="N236" s="463">
        <f t="shared" si="33"/>
        <v>0</v>
      </c>
      <c r="O236" s="463">
        <f t="shared" si="33"/>
        <v>0</v>
      </c>
      <c r="P236" s="463">
        <f t="shared" si="33"/>
        <v>0</v>
      </c>
      <c r="Q236" s="463">
        <f t="shared" si="33"/>
        <v>0</v>
      </c>
      <c r="R236" s="463">
        <f t="shared" si="33"/>
        <v>0</v>
      </c>
      <c r="S236" s="463">
        <f t="shared" si="33"/>
        <v>0</v>
      </c>
      <c r="T236" s="463">
        <f t="shared" si="33"/>
        <v>0</v>
      </c>
      <c r="U236" s="463">
        <f t="shared" si="33"/>
        <v>0</v>
      </c>
      <c r="V236" s="463">
        <f t="shared" si="33"/>
        <v>0</v>
      </c>
      <c r="W236" s="463">
        <f t="shared" si="33"/>
        <v>0</v>
      </c>
      <c r="X236" s="463">
        <f t="shared" si="34"/>
        <v>0</v>
      </c>
      <c r="Y236" s="463">
        <f t="shared" si="34"/>
        <v>0</v>
      </c>
      <c r="Z236" s="463">
        <f t="shared" si="34"/>
        <v>0</v>
      </c>
      <c r="AA236" s="463">
        <f t="shared" si="34"/>
        <v>1</v>
      </c>
      <c r="AB236" s="463">
        <f t="shared" si="34"/>
        <v>0</v>
      </c>
      <c r="AC236" s="463">
        <f t="shared" si="34"/>
        <v>0</v>
      </c>
      <c r="AD236" s="463">
        <f t="shared" si="34"/>
        <v>0</v>
      </c>
      <c r="AE236" s="463">
        <f t="shared" si="34"/>
        <v>0</v>
      </c>
      <c r="AF236" s="621">
        <f t="shared" si="34"/>
        <v>0</v>
      </c>
      <c r="AG236" s="573"/>
      <c r="AH236" s="464"/>
      <c r="AI236" s="464"/>
      <c r="AJ236" s="464"/>
      <c r="AK236" s="464"/>
      <c r="AL236" s="465"/>
      <c r="AM236" s="463"/>
      <c r="AN236" s="464"/>
      <c r="AO236" s="464"/>
      <c r="AP236" s="464"/>
      <c r="AQ236" s="464"/>
      <c r="AR236" s="465"/>
      <c r="AS236" s="463"/>
      <c r="AT236" s="464"/>
      <c r="AU236" s="464"/>
      <c r="AV236" s="464"/>
      <c r="AW236" s="464"/>
      <c r="AX236" s="465"/>
      <c r="AY236" s="463"/>
      <c r="AZ236" s="464"/>
      <c r="BA236" s="464"/>
      <c r="BB236" s="464"/>
      <c r="BC236" s="464"/>
      <c r="BD236" s="465"/>
      <c r="BE236" s="463"/>
      <c r="BF236" s="464"/>
      <c r="BG236" s="464"/>
      <c r="BH236" s="464">
        <f>+IF($I236=BH$10,IF($L236=BH$11,#REF!,0),0)</f>
        <v>0</v>
      </c>
      <c r="BI236" s="464">
        <f>+IF($I236=BI$10,IF($L236=BI$11,#REF!,0),0)</f>
        <v>0</v>
      </c>
      <c r="BJ236" s="466">
        <f>+IF($I236=BJ$10,IF($L236=BJ$11,#REF!,0),0)</f>
        <v>0</v>
      </c>
    </row>
    <row r="237" spans="5:62" s="467" customFormat="1" ht="16.5" hidden="1" customHeight="1">
      <c r="E237" s="454" t="s">
        <v>1217</v>
      </c>
      <c r="F237" s="455"/>
      <c r="G237" s="456"/>
      <c r="H237" s="457" t="str">
        <f t="shared" si="48"/>
        <v>-</v>
      </c>
      <c r="I237" s="458" t="str">
        <f t="shared" si="47"/>
        <v>POSTE DE TELEFONO</v>
      </c>
      <c r="J237" s="566"/>
      <c r="K237" s="459" t="s">
        <v>1203</v>
      </c>
      <c r="L237" s="460" t="s">
        <v>1191</v>
      </c>
      <c r="M237" s="463">
        <f t="shared" si="33"/>
        <v>0</v>
      </c>
      <c r="N237" s="463">
        <f t="shared" si="33"/>
        <v>0</v>
      </c>
      <c r="O237" s="463">
        <f t="shared" si="33"/>
        <v>0</v>
      </c>
      <c r="P237" s="463">
        <f t="shared" si="33"/>
        <v>0</v>
      </c>
      <c r="Q237" s="463">
        <f t="shared" si="33"/>
        <v>0</v>
      </c>
      <c r="R237" s="463">
        <f t="shared" si="33"/>
        <v>0</v>
      </c>
      <c r="S237" s="463">
        <f t="shared" si="33"/>
        <v>0</v>
      </c>
      <c r="T237" s="463">
        <f t="shared" si="33"/>
        <v>0</v>
      </c>
      <c r="U237" s="463">
        <f t="shared" si="33"/>
        <v>0</v>
      </c>
      <c r="V237" s="463">
        <f t="shared" si="33"/>
        <v>0</v>
      </c>
      <c r="W237" s="463">
        <f t="shared" si="33"/>
        <v>0</v>
      </c>
      <c r="X237" s="463">
        <f t="shared" si="34"/>
        <v>0</v>
      </c>
      <c r="Y237" s="463">
        <f t="shared" si="34"/>
        <v>0</v>
      </c>
      <c r="Z237" s="463">
        <f t="shared" si="34"/>
        <v>0</v>
      </c>
      <c r="AA237" s="463">
        <f t="shared" si="34"/>
        <v>1</v>
      </c>
      <c r="AB237" s="463">
        <f t="shared" si="34"/>
        <v>0</v>
      </c>
      <c r="AC237" s="463">
        <f t="shared" si="34"/>
        <v>0</v>
      </c>
      <c r="AD237" s="463">
        <f t="shared" si="34"/>
        <v>0</v>
      </c>
      <c r="AE237" s="463">
        <f t="shared" si="34"/>
        <v>0</v>
      </c>
      <c r="AF237" s="621">
        <f t="shared" si="34"/>
        <v>0</v>
      </c>
      <c r="AG237" s="573"/>
      <c r="AH237" s="464"/>
      <c r="AI237" s="464"/>
      <c r="AJ237" s="464"/>
      <c r="AK237" s="464"/>
      <c r="AL237" s="465">
        <f>+IF($I237=AL$10,IF($L237=AL$11,#REF!,0),0)</f>
        <v>0</v>
      </c>
      <c r="AM237" s="463">
        <f>+IF($I237=AM$10,IF($L237=AM$11,#REF!,0),0)</f>
        <v>0</v>
      </c>
      <c r="AN237" s="464">
        <f>+IF($I237=AN$10,IF($L237=AN$11,#REF!,0),0)</f>
        <v>0</v>
      </c>
      <c r="AO237" s="464">
        <f>+IF($I237=AO$10,IF($L237=AO$11,#REF!,0),0)</f>
        <v>0</v>
      </c>
      <c r="AP237" s="464">
        <f>+IF($I237=AP$10,IF($L237=AP$11,#REF!,0),0)</f>
        <v>0</v>
      </c>
      <c r="AQ237" s="464">
        <f>+IF($I237=AQ$10,IF($L237=AQ$11,#REF!,0),0)</f>
        <v>0</v>
      </c>
      <c r="AR237" s="465">
        <f>+IF($I237=AR$10,IF($L237=AR$11,#REF!,0),0)</f>
        <v>0</v>
      </c>
      <c r="AS237" s="463">
        <f>+IF($I237=AS$10,IF($L237=AS$11,#REF!,0),0)</f>
        <v>0</v>
      </c>
      <c r="AT237" s="464">
        <f>+IF($I237=AT$10,IF($L237=AT$11,#REF!,0),0)</f>
        <v>0</v>
      </c>
      <c r="AU237" s="464">
        <f>+IF($I237=AU$10,IF($L237=AU$11,#REF!,0),0)</f>
        <v>0</v>
      </c>
      <c r="AV237" s="464">
        <f>+IF($I237=AV$10,IF($L237=AV$11,#REF!,0),0)</f>
        <v>0</v>
      </c>
      <c r="AW237" s="464">
        <f>+IF($I237=AW$10,IF($L237=AW$11,#REF!,0),0)</f>
        <v>0</v>
      </c>
      <c r="AX237" s="465">
        <f>+IF($I237=AX$10,IF($L237=AX$11,#REF!,0),0)</f>
        <v>0</v>
      </c>
      <c r="AY237" s="463">
        <f>+IF($I237=AY$10,IF($L237=AY$11,#REF!,0),0)</f>
        <v>0</v>
      </c>
      <c r="AZ237" s="464">
        <f>+IF($I237=AZ$10,IF($L237=AZ$11,#REF!,0),0)</f>
        <v>0</v>
      </c>
      <c r="BA237" s="464">
        <f>+IF($I237=BA$10,IF($L237=BA$11,#REF!,0),0)</f>
        <v>0</v>
      </c>
      <c r="BB237" s="464">
        <f>+IF($I237=BB$10,IF($L237=BB$11,#REF!,0),0)</f>
        <v>0</v>
      </c>
      <c r="BC237" s="464">
        <f>+IF($I237=BC$10,IF($L237=BC$11,#REF!,0),0)</f>
        <v>0</v>
      </c>
      <c r="BD237" s="465">
        <f>+IF($I237=BD$10,IF($L237=BD$11,#REF!,0),0)</f>
        <v>0</v>
      </c>
      <c r="BE237" s="463">
        <f>+IF($I237=BE$10,IF($L237=BE$11,#REF!,0),0)</f>
        <v>0</v>
      </c>
      <c r="BF237" s="464">
        <f>+IF($I237=BF$10,IF($L237=BF$11,#REF!,0),0)</f>
        <v>0</v>
      </c>
      <c r="BG237" s="464">
        <f>+IF($I237=BG$10,IF($L237=BG$11,#REF!,0),0)</f>
        <v>0</v>
      </c>
      <c r="BH237" s="464">
        <f>+IF($I237=BH$10,IF($L237=BH$11,#REF!,0),0)</f>
        <v>0</v>
      </c>
      <c r="BI237" s="464">
        <f>+IF($I237=BI$10,IF($L237=BI$11,#REF!,0),0)</f>
        <v>0</v>
      </c>
      <c r="BJ237" s="466">
        <f>+IF($I237=BJ$10,IF($L237=BJ$11,#REF!,0),0)</f>
        <v>0</v>
      </c>
    </row>
    <row r="238" spans="5:62" s="467" customFormat="1" ht="16.5" hidden="1" customHeight="1">
      <c r="E238" s="454" t="s">
        <v>1217</v>
      </c>
      <c r="F238" s="455"/>
      <c r="G238" s="456"/>
      <c r="H238" s="457" t="str">
        <f t="shared" si="48"/>
        <v>-</v>
      </c>
      <c r="I238" s="458" t="str">
        <f t="shared" si="47"/>
        <v>POSTE DE TELEFONO</v>
      </c>
      <c r="J238" s="566"/>
      <c r="K238" s="459" t="s">
        <v>1203</v>
      </c>
      <c r="L238" s="460" t="s">
        <v>1191</v>
      </c>
      <c r="M238" s="463">
        <f t="shared" si="33"/>
        <v>0</v>
      </c>
      <c r="N238" s="463">
        <f t="shared" si="33"/>
        <v>0</v>
      </c>
      <c r="O238" s="463">
        <f t="shared" si="33"/>
        <v>0</v>
      </c>
      <c r="P238" s="463">
        <f t="shared" si="33"/>
        <v>0</v>
      </c>
      <c r="Q238" s="463">
        <f t="shared" si="33"/>
        <v>0</v>
      </c>
      <c r="R238" s="463">
        <f t="shared" si="33"/>
        <v>0</v>
      </c>
      <c r="S238" s="463">
        <f t="shared" si="33"/>
        <v>0</v>
      </c>
      <c r="T238" s="463">
        <f t="shared" si="33"/>
        <v>0</v>
      </c>
      <c r="U238" s="463">
        <f t="shared" si="33"/>
        <v>0</v>
      </c>
      <c r="V238" s="463">
        <f t="shared" si="33"/>
        <v>0</v>
      </c>
      <c r="W238" s="463">
        <f t="shared" si="33"/>
        <v>0</v>
      </c>
      <c r="X238" s="463">
        <f t="shared" si="34"/>
        <v>0</v>
      </c>
      <c r="Y238" s="463">
        <f t="shared" si="34"/>
        <v>0</v>
      </c>
      <c r="Z238" s="463">
        <f t="shared" si="34"/>
        <v>0</v>
      </c>
      <c r="AA238" s="463">
        <f t="shared" si="34"/>
        <v>1</v>
      </c>
      <c r="AB238" s="463">
        <f t="shared" si="34"/>
        <v>0</v>
      </c>
      <c r="AC238" s="463">
        <f t="shared" si="34"/>
        <v>0</v>
      </c>
      <c r="AD238" s="463">
        <f t="shared" si="34"/>
        <v>0</v>
      </c>
      <c r="AE238" s="463">
        <f t="shared" si="34"/>
        <v>0</v>
      </c>
      <c r="AF238" s="621">
        <f t="shared" si="34"/>
        <v>0</v>
      </c>
      <c r="AG238" s="573"/>
      <c r="AH238" s="464"/>
      <c r="AI238" s="464"/>
      <c r="AJ238" s="464"/>
      <c r="AK238" s="464"/>
      <c r="AL238" s="465">
        <f>+IF($I238=AL$10,IF($L238=AL$11,#REF!,0),0)</f>
        <v>0</v>
      </c>
      <c r="AM238" s="463">
        <f>+IF($I238=AM$10,IF($L238=AM$11,#REF!,0),0)</f>
        <v>0</v>
      </c>
      <c r="AN238" s="464">
        <f>+IF($I238=AN$10,IF($L238=AN$11,#REF!,0),0)</f>
        <v>0</v>
      </c>
      <c r="AO238" s="464">
        <f>+IF($I238=AO$10,IF($L238=AO$11,#REF!,0),0)</f>
        <v>0</v>
      </c>
      <c r="AP238" s="464">
        <f>+IF($I238=AP$10,IF($L238=AP$11,#REF!,0),0)</f>
        <v>0</v>
      </c>
      <c r="AQ238" s="464">
        <f>+IF($I238=AQ$10,IF($L238=AQ$11,#REF!,0),0)</f>
        <v>0</v>
      </c>
      <c r="AR238" s="465">
        <f>+IF($I238=AR$10,IF($L238=AR$11,#REF!,0),0)</f>
        <v>0</v>
      </c>
      <c r="AS238" s="463">
        <f>+IF($I238=AS$10,IF($L238=AS$11,#REF!,0),0)</f>
        <v>0</v>
      </c>
      <c r="AT238" s="464">
        <f>+IF($I238=AT$10,IF($L238=AT$11,#REF!,0),0)</f>
        <v>0</v>
      </c>
      <c r="AU238" s="464">
        <f>+IF($I238=AU$10,IF($L238=AU$11,#REF!,0),0)</f>
        <v>0</v>
      </c>
      <c r="AV238" s="464">
        <f>+IF($I238=AV$10,IF($L238=AV$11,#REF!,0),0)</f>
        <v>0</v>
      </c>
      <c r="AW238" s="464">
        <f>+IF($I238=AW$10,IF($L238=AW$11,#REF!,0),0)</f>
        <v>0</v>
      </c>
      <c r="AX238" s="465">
        <f>+IF($I238=AX$10,IF($L238=AX$11,#REF!,0),0)</f>
        <v>0</v>
      </c>
      <c r="AY238" s="463">
        <f>+IF($I238=AY$10,IF($L238=AY$11,#REF!,0),0)</f>
        <v>0</v>
      </c>
      <c r="AZ238" s="464">
        <f>+IF($I238=AZ$10,IF($L238=AZ$11,#REF!,0),0)</f>
        <v>0</v>
      </c>
      <c r="BA238" s="464">
        <f>+IF($I238=BA$10,IF($L238=BA$11,#REF!,0),0)</f>
        <v>0</v>
      </c>
      <c r="BB238" s="464">
        <f>+IF($I238=BB$10,IF($L238=BB$11,#REF!,0),0)</f>
        <v>0</v>
      </c>
      <c r="BC238" s="464">
        <f>+IF($I238=BC$10,IF($L238=BC$11,#REF!,0),0)</f>
        <v>0</v>
      </c>
      <c r="BD238" s="465">
        <f>+IF($I238=BD$10,IF($L238=BD$11,#REF!,0),0)</f>
        <v>0</v>
      </c>
      <c r="BE238" s="463">
        <f>+IF($I238=BE$10,IF($L238=BE$11,#REF!,0),0)</f>
        <v>0</v>
      </c>
      <c r="BF238" s="464">
        <f>+IF($I238=BF$10,IF($L238=BF$11,#REF!,0),0)</f>
        <v>0</v>
      </c>
      <c r="BG238" s="464">
        <f>+IF($I238=BG$10,IF($L238=BG$11,#REF!,0),0)</f>
        <v>0</v>
      </c>
      <c r="BH238" s="464">
        <f>+IF($I238=BH$10,IF($L238=BH$11,#REF!,0),0)</f>
        <v>0</v>
      </c>
      <c r="BI238" s="464">
        <f>+IF($I238=BI$10,IF($L238=BI$11,#REF!,0),0)</f>
        <v>0</v>
      </c>
      <c r="BJ238" s="466">
        <f>+IF($I238=BJ$10,IF($L238=BJ$11,#REF!,0),0)</f>
        <v>0</v>
      </c>
    </row>
    <row r="239" spans="5:62" s="467" customFormat="1" ht="16.5" hidden="1" customHeight="1">
      <c r="E239" s="454" t="s">
        <v>1217</v>
      </c>
      <c r="F239" s="455"/>
      <c r="G239" s="456"/>
      <c r="H239" s="457" t="str">
        <f t="shared" si="48"/>
        <v>-</v>
      </c>
      <c r="I239" s="458" t="str">
        <f t="shared" si="47"/>
        <v>POSTE DE TELEFONO</v>
      </c>
      <c r="J239" s="566"/>
      <c r="K239" s="459" t="s">
        <v>1203</v>
      </c>
      <c r="L239" s="460" t="s">
        <v>1191</v>
      </c>
      <c r="M239" s="463">
        <f t="shared" si="33"/>
        <v>0</v>
      </c>
      <c r="N239" s="463">
        <f t="shared" si="33"/>
        <v>0</v>
      </c>
      <c r="O239" s="463">
        <f t="shared" si="33"/>
        <v>0</v>
      </c>
      <c r="P239" s="463">
        <f t="shared" si="33"/>
        <v>0</v>
      </c>
      <c r="Q239" s="463">
        <f t="shared" si="33"/>
        <v>0</v>
      </c>
      <c r="R239" s="463">
        <f t="shared" si="33"/>
        <v>0</v>
      </c>
      <c r="S239" s="463">
        <f t="shared" si="33"/>
        <v>0</v>
      </c>
      <c r="T239" s="463">
        <f t="shared" si="33"/>
        <v>0</v>
      </c>
      <c r="U239" s="463">
        <f t="shared" si="33"/>
        <v>0</v>
      </c>
      <c r="V239" s="463">
        <f t="shared" si="33"/>
        <v>0</v>
      </c>
      <c r="W239" s="463">
        <f t="shared" si="33"/>
        <v>0</v>
      </c>
      <c r="X239" s="463">
        <f t="shared" si="34"/>
        <v>0</v>
      </c>
      <c r="Y239" s="463">
        <f t="shared" si="34"/>
        <v>0</v>
      </c>
      <c r="Z239" s="463">
        <f t="shared" si="34"/>
        <v>0</v>
      </c>
      <c r="AA239" s="463">
        <f t="shared" si="34"/>
        <v>1</v>
      </c>
      <c r="AB239" s="463">
        <f t="shared" si="34"/>
        <v>0</v>
      </c>
      <c r="AC239" s="463">
        <f t="shared" si="34"/>
        <v>0</v>
      </c>
      <c r="AD239" s="463">
        <f t="shared" si="34"/>
        <v>0</v>
      </c>
      <c r="AE239" s="463">
        <f t="shared" si="34"/>
        <v>0</v>
      </c>
      <c r="AF239" s="621">
        <f t="shared" si="34"/>
        <v>0</v>
      </c>
      <c r="AG239" s="573"/>
      <c r="AH239" s="464"/>
      <c r="AI239" s="464"/>
      <c r="AJ239" s="464"/>
      <c r="AK239" s="464"/>
      <c r="AL239" s="465">
        <f>+IF($I239=AL$10,IF($L239=AL$11,#REF!,0),0)</f>
        <v>0</v>
      </c>
      <c r="AM239" s="463">
        <f>+IF($I239=AM$10,IF($L239=AM$11,#REF!,0),0)</f>
        <v>0</v>
      </c>
      <c r="AN239" s="464">
        <f>+IF($I239=AN$10,IF($L239=AN$11,#REF!,0),0)</f>
        <v>0</v>
      </c>
      <c r="AO239" s="464">
        <f>+IF($I239=AO$10,IF($L239=AO$11,#REF!,0),0)</f>
        <v>0</v>
      </c>
      <c r="AP239" s="464">
        <f>+IF($I239=AP$10,IF($L239=AP$11,#REF!,0),0)</f>
        <v>0</v>
      </c>
      <c r="AQ239" s="464">
        <f>+IF($I239=AQ$10,IF($L239=AQ$11,#REF!,0),0)</f>
        <v>0</v>
      </c>
      <c r="AR239" s="465">
        <f>+IF($I239=AR$10,IF($L239=AR$11,#REF!,0),0)</f>
        <v>0</v>
      </c>
      <c r="AS239" s="463">
        <f>+IF($I239=AS$10,IF($L239=AS$11,#REF!,0),0)</f>
        <v>0</v>
      </c>
      <c r="AT239" s="464">
        <f>+IF($I239=AT$10,IF($L239=AT$11,#REF!,0),0)</f>
        <v>0</v>
      </c>
      <c r="AU239" s="464">
        <f>+IF($I239=AU$10,IF($L239=AU$11,#REF!,0),0)</f>
        <v>0</v>
      </c>
      <c r="AV239" s="464">
        <f>+IF($I239=AV$10,IF($L239=AV$11,#REF!,0),0)</f>
        <v>0</v>
      </c>
      <c r="AW239" s="464">
        <f>+IF($I239=AW$10,IF($L239=AW$11,#REF!,0),0)</f>
        <v>0</v>
      </c>
      <c r="AX239" s="465">
        <f>+IF($I239=AX$10,IF($L239=AX$11,#REF!,0),0)</f>
        <v>0</v>
      </c>
      <c r="AY239" s="463">
        <f>+IF($I239=AY$10,IF($L239=AY$11,#REF!,0),0)</f>
        <v>0</v>
      </c>
      <c r="AZ239" s="464">
        <f>+IF($I239=AZ$10,IF($L239=AZ$11,#REF!,0),0)</f>
        <v>0</v>
      </c>
      <c r="BA239" s="464">
        <f>+IF($I239=BA$10,IF($L239=BA$11,#REF!,0),0)</f>
        <v>0</v>
      </c>
      <c r="BB239" s="464">
        <f>+IF($I239=BB$10,IF($L239=BB$11,#REF!,0),0)</f>
        <v>0</v>
      </c>
      <c r="BC239" s="464">
        <f>+IF($I239=BC$10,IF($L239=BC$11,#REF!,0),0)</f>
        <v>0</v>
      </c>
      <c r="BD239" s="465">
        <f>+IF($I239=BD$10,IF($L239=BD$11,#REF!,0),0)</f>
        <v>0</v>
      </c>
      <c r="BE239" s="463">
        <f>+IF($I239=BE$10,IF($L239=BE$11,#REF!,0),0)</f>
        <v>0</v>
      </c>
      <c r="BF239" s="464">
        <f>+IF($I239=BF$10,IF($L239=BF$11,#REF!,0),0)</f>
        <v>0</v>
      </c>
      <c r="BG239" s="464">
        <f>+IF($I239=BG$10,IF($L239=BG$11,#REF!,0),0)</f>
        <v>0</v>
      </c>
      <c r="BH239" s="464">
        <f>+IF($I239=BH$10,IF($L239=BH$11,#REF!,0),0)</f>
        <v>0</v>
      </c>
      <c r="BI239" s="464">
        <f>+IF($I239=BI$10,IF($L239=BI$11,#REF!,0),0)</f>
        <v>0</v>
      </c>
      <c r="BJ239" s="466">
        <f>+IF($I239=BJ$10,IF($L239=BJ$11,#REF!,0),0)</f>
        <v>0</v>
      </c>
    </row>
    <row r="240" spans="5:62" s="467" customFormat="1" ht="16.5" hidden="1" customHeight="1">
      <c r="E240" s="454" t="s">
        <v>1217</v>
      </c>
      <c r="F240" s="455"/>
      <c r="G240" s="456"/>
      <c r="H240" s="457" t="str">
        <f t="shared" si="48"/>
        <v>-</v>
      </c>
      <c r="I240" s="458" t="str">
        <f t="shared" si="47"/>
        <v>POSTE DE TELEFONO</v>
      </c>
      <c r="J240" s="566"/>
      <c r="K240" s="459" t="s">
        <v>1203</v>
      </c>
      <c r="L240" s="460" t="s">
        <v>1191</v>
      </c>
      <c r="M240" s="463">
        <f t="shared" si="33"/>
        <v>0</v>
      </c>
      <c r="N240" s="463">
        <f t="shared" si="33"/>
        <v>0</v>
      </c>
      <c r="O240" s="463">
        <f t="shared" si="33"/>
        <v>0</v>
      </c>
      <c r="P240" s="463">
        <f t="shared" si="33"/>
        <v>0</v>
      </c>
      <c r="Q240" s="463">
        <f t="shared" si="33"/>
        <v>0</v>
      </c>
      <c r="R240" s="463">
        <f t="shared" si="33"/>
        <v>0</v>
      </c>
      <c r="S240" s="463">
        <f t="shared" si="33"/>
        <v>0</v>
      </c>
      <c r="T240" s="463">
        <f t="shared" si="33"/>
        <v>0</v>
      </c>
      <c r="U240" s="463">
        <f t="shared" si="33"/>
        <v>0</v>
      </c>
      <c r="V240" s="463">
        <f t="shared" si="33"/>
        <v>0</v>
      </c>
      <c r="W240" s="463">
        <f t="shared" si="33"/>
        <v>0</v>
      </c>
      <c r="X240" s="463">
        <f t="shared" si="34"/>
        <v>0</v>
      </c>
      <c r="Y240" s="463">
        <f t="shared" si="34"/>
        <v>0</v>
      </c>
      <c r="Z240" s="463">
        <f t="shared" si="34"/>
        <v>0</v>
      </c>
      <c r="AA240" s="463">
        <f t="shared" si="34"/>
        <v>1</v>
      </c>
      <c r="AB240" s="463">
        <f t="shared" si="34"/>
        <v>0</v>
      </c>
      <c r="AC240" s="463">
        <f t="shared" si="34"/>
        <v>0</v>
      </c>
      <c r="AD240" s="463">
        <f t="shared" si="34"/>
        <v>0</v>
      </c>
      <c r="AE240" s="463">
        <f t="shared" si="34"/>
        <v>0</v>
      </c>
      <c r="AF240" s="621">
        <f t="shared" si="34"/>
        <v>0</v>
      </c>
      <c r="AG240" s="573"/>
      <c r="AH240" s="464"/>
      <c r="AI240" s="464"/>
      <c r="AJ240" s="464"/>
      <c r="AK240" s="464"/>
      <c r="AL240" s="465">
        <f>+IF($I240=AL$10,IF($L240=AL$11,#REF!,0),0)</f>
        <v>0</v>
      </c>
      <c r="AM240" s="463">
        <f>+IF($I240=AM$10,IF($L240=AM$11,#REF!,0),0)</f>
        <v>0</v>
      </c>
      <c r="AN240" s="464">
        <f>+IF($I240=AN$10,IF($L240=AN$11,#REF!,0),0)</f>
        <v>0</v>
      </c>
      <c r="AO240" s="464">
        <f>+IF($I240=AO$10,IF($L240=AO$11,#REF!,0),0)</f>
        <v>0</v>
      </c>
      <c r="AP240" s="464">
        <f>+IF($I240=AP$10,IF($L240=AP$11,#REF!,0),0)</f>
        <v>0</v>
      </c>
      <c r="AQ240" s="464">
        <f>+IF($I240=AQ$10,IF($L240=AQ$11,#REF!,0),0)</f>
        <v>0</v>
      </c>
      <c r="AR240" s="465">
        <f>+IF($I240=AR$10,IF($L240=AR$11,#REF!,0),0)</f>
        <v>0</v>
      </c>
      <c r="AS240" s="463">
        <f>+IF($I240=AS$10,IF($L240=AS$11,#REF!,0),0)</f>
        <v>0</v>
      </c>
      <c r="AT240" s="464">
        <f>+IF($I240=AT$10,IF($L240=AT$11,#REF!,0),0)</f>
        <v>0</v>
      </c>
      <c r="AU240" s="464">
        <f>+IF($I240=AU$10,IF($L240=AU$11,#REF!,0),0)</f>
        <v>0</v>
      </c>
      <c r="AV240" s="464">
        <f>+IF($I240=AV$10,IF($L240=AV$11,#REF!,0),0)</f>
        <v>0</v>
      </c>
      <c r="AW240" s="464">
        <f>+IF($I240=AW$10,IF($L240=AW$11,#REF!,0),0)</f>
        <v>0</v>
      </c>
      <c r="AX240" s="465">
        <f>+IF($I240=AX$10,IF($L240=AX$11,#REF!,0),0)</f>
        <v>0</v>
      </c>
      <c r="AY240" s="463">
        <f>+IF($I240=AY$10,IF($L240=AY$11,#REF!,0),0)</f>
        <v>0</v>
      </c>
      <c r="AZ240" s="464">
        <f>+IF($I240=AZ$10,IF($L240=AZ$11,#REF!,0),0)</f>
        <v>0</v>
      </c>
      <c r="BA240" s="464">
        <f>+IF($I240=BA$10,IF($L240=BA$11,#REF!,0),0)</f>
        <v>0</v>
      </c>
      <c r="BB240" s="464">
        <f>+IF($I240=BB$10,IF($L240=BB$11,#REF!,0),0)</f>
        <v>0</v>
      </c>
      <c r="BC240" s="464">
        <f>+IF($I240=BC$10,IF($L240=BC$11,#REF!,0),0)</f>
        <v>0</v>
      </c>
      <c r="BD240" s="465">
        <f>+IF($I240=BD$10,IF($L240=BD$11,#REF!,0),0)</f>
        <v>0</v>
      </c>
      <c r="BE240" s="463">
        <f>+IF($I240=BE$10,IF($L240=BE$11,#REF!,0),0)</f>
        <v>0</v>
      </c>
      <c r="BF240" s="464">
        <f>+IF($I240=BF$10,IF($L240=BF$11,#REF!,0),0)</f>
        <v>0</v>
      </c>
      <c r="BG240" s="464">
        <f>+IF($I240=BG$10,IF($L240=BG$11,#REF!,0),0)</f>
        <v>0</v>
      </c>
      <c r="BH240" s="464">
        <f>+IF($I240=BH$10,IF($L240=BH$11,#REF!,0),0)</f>
        <v>0</v>
      </c>
      <c r="BI240" s="464">
        <f>+IF($I240=BI$10,IF($L240=BI$11,#REF!,0),0)</f>
        <v>0</v>
      </c>
      <c r="BJ240" s="466">
        <f>+IF($I240=BJ$10,IF($L240=BJ$11,#REF!,0),0)</f>
        <v>0</v>
      </c>
    </row>
    <row r="241" spans="5:62" s="467" customFormat="1" ht="16.5" hidden="1" customHeight="1">
      <c r="E241" s="454" t="s">
        <v>1217</v>
      </c>
      <c r="F241" s="455"/>
      <c r="G241" s="456"/>
      <c r="H241" s="457" t="str">
        <f t="shared" si="48"/>
        <v>-</v>
      </c>
      <c r="I241" s="458" t="str">
        <f t="shared" si="47"/>
        <v>POSTE DE TELEFONO</v>
      </c>
      <c r="J241" s="566"/>
      <c r="K241" s="459" t="s">
        <v>1203</v>
      </c>
      <c r="L241" s="460" t="s">
        <v>1191</v>
      </c>
      <c r="M241" s="463">
        <f t="shared" si="33"/>
        <v>0</v>
      </c>
      <c r="N241" s="463">
        <f t="shared" si="33"/>
        <v>0</v>
      </c>
      <c r="O241" s="463">
        <f t="shared" si="33"/>
        <v>0</v>
      </c>
      <c r="P241" s="463">
        <f t="shared" si="33"/>
        <v>0</v>
      </c>
      <c r="Q241" s="463">
        <f t="shared" si="33"/>
        <v>0</v>
      </c>
      <c r="R241" s="463">
        <f t="shared" si="33"/>
        <v>0</v>
      </c>
      <c r="S241" s="463">
        <f t="shared" si="33"/>
        <v>0</v>
      </c>
      <c r="T241" s="463">
        <f t="shared" si="33"/>
        <v>0</v>
      </c>
      <c r="U241" s="463">
        <f t="shared" ref="U241:W241" si="49">+IF($L241=U$10,IF($K241=U$11,1,0),0)</f>
        <v>0</v>
      </c>
      <c r="V241" s="463">
        <f t="shared" si="49"/>
        <v>0</v>
      </c>
      <c r="W241" s="463">
        <f t="shared" si="49"/>
        <v>0</v>
      </c>
      <c r="X241" s="463">
        <f t="shared" si="34"/>
        <v>0</v>
      </c>
      <c r="Y241" s="463">
        <f t="shared" si="34"/>
        <v>0</v>
      </c>
      <c r="Z241" s="463">
        <f t="shared" si="34"/>
        <v>0</v>
      </c>
      <c r="AA241" s="463">
        <f t="shared" si="34"/>
        <v>1</v>
      </c>
      <c r="AB241" s="463">
        <f t="shared" si="34"/>
        <v>0</v>
      </c>
      <c r="AC241" s="463">
        <f t="shared" si="34"/>
        <v>0</v>
      </c>
      <c r="AD241" s="463">
        <f t="shared" si="34"/>
        <v>0</v>
      </c>
      <c r="AE241" s="463">
        <f t="shared" si="34"/>
        <v>0</v>
      </c>
      <c r="AF241" s="621">
        <f t="shared" si="34"/>
        <v>0</v>
      </c>
      <c r="AG241" s="573"/>
      <c r="AH241" s="464"/>
      <c r="AI241" s="464"/>
      <c r="AJ241" s="464"/>
      <c r="AK241" s="464"/>
      <c r="AL241" s="465">
        <f>+IF($I241=AL$10,IF($L241=AL$11,#REF!,0),0)</f>
        <v>0</v>
      </c>
      <c r="AM241" s="463">
        <f>+IF($I241=AM$10,IF($L241=AM$11,#REF!,0),0)</f>
        <v>0</v>
      </c>
      <c r="AN241" s="464">
        <f>+IF($I241=AN$10,IF($L241=AN$11,#REF!,0),0)</f>
        <v>0</v>
      </c>
      <c r="AO241" s="464">
        <f>+IF($I241=AO$10,IF($L241=AO$11,#REF!,0),0)</f>
        <v>0</v>
      </c>
      <c r="AP241" s="464">
        <f>+IF($I241=AP$10,IF($L241=AP$11,#REF!,0),0)</f>
        <v>0</v>
      </c>
      <c r="AQ241" s="464">
        <f>+IF($I241=AQ$10,IF($L241=AQ$11,#REF!,0),0)</f>
        <v>0</v>
      </c>
      <c r="AR241" s="465">
        <f>+IF($I241=AR$10,IF($L241=AR$11,#REF!,0),0)</f>
        <v>0</v>
      </c>
      <c r="AS241" s="463">
        <f>+IF($I241=AS$10,IF($L241=AS$11,#REF!,0),0)</f>
        <v>0</v>
      </c>
      <c r="AT241" s="464">
        <f>+IF($I241=AT$10,IF($L241=AT$11,#REF!,0),0)</f>
        <v>0</v>
      </c>
      <c r="AU241" s="464">
        <f>+IF($I241=AU$10,IF($L241=AU$11,#REF!,0),0)</f>
        <v>0</v>
      </c>
      <c r="AV241" s="464">
        <f>+IF($I241=AV$10,IF($L241=AV$11,#REF!,0),0)</f>
        <v>0</v>
      </c>
      <c r="AW241" s="464">
        <f>+IF($I241=AW$10,IF($L241=AW$11,#REF!,0),0)</f>
        <v>0</v>
      </c>
      <c r="AX241" s="465">
        <f>+IF($I241=AX$10,IF($L241=AX$11,#REF!,0),0)</f>
        <v>0</v>
      </c>
      <c r="AY241" s="463">
        <f>+IF($I241=AY$10,IF($L241=AY$11,#REF!,0),0)</f>
        <v>0</v>
      </c>
      <c r="AZ241" s="464">
        <f>+IF($I241=AZ$10,IF($L241=AZ$11,#REF!,0),0)</f>
        <v>0</v>
      </c>
      <c r="BA241" s="464">
        <f>+IF($I241=BA$10,IF($L241=BA$11,#REF!,0),0)</f>
        <v>0</v>
      </c>
      <c r="BB241" s="464">
        <f>+IF($I241=BB$10,IF($L241=BB$11,#REF!,0),0)</f>
        <v>0</v>
      </c>
      <c r="BC241" s="464">
        <f>+IF($I241=BC$10,IF($L241=BC$11,#REF!,0),0)</f>
        <v>0</v>
      </c>
      <c r="BD241" s="465">
        <f>+IF($I241=BD$10,IF($L241=BD$11,#REF!,0),0)</f>
        <v>0</v>
      </c>
      <c r="BE241" s="463">
        <f>+IF($I241=BE$10,IF($L241=BE$11,#REF!,0),0)</f>
        <v>0</v>
      </c>
      <c r="BF241" s="464">
        <f>+IF($I241=BF$10,IF($L241=BF$11,#REF!,0),0)</f>
        <v>0</v>
      </c>
      <c r="BG241" s="464">
        <f>+IF($I241=BG$10,IF($L241=BG$11,#REF!,0),0)</f>
        <v>0</v>
      </c>
      <c r="BH241" s="464">
        <f>+IF($I241=BH$10,IF($L241=BH$11,#REF!,0),0)</f>
        <v>0</v>
      </c>
      <c r="BI241" s="464">
        <f>+IF($I241=BI$10,IF($L241=BI$11,#REF!,0),0)</f>
        <v>0</v>
      </c>
      <c r="BJ241" s="466">
        <f>+IF($I241=BJ$10,IF($L241=BJ$11,#REF!,0),0)</f>
        <v>0</v>
      </c>
    </row>
    <row r="242" spans="5:62" s="467" customFormat="1" ht="16.5" hidden="1" customHeight="1">
      <c r="E242" s="454" t="s">
        <v>1217</v>
      </c>
      <c r="F242" s="455"/>
      <c r="G242" s="456"/>
      <c r="H242" s="457" t="str">
        <f t="shared" si="48"/>
        <v>-</v>
      </c>
      <c r="I242" s="458" t="str">
        <f t="shared" si="47"/>
        <v>POSTE DE TELEFONO</v>
      </c>
      <c r="J242" s="566"/>
      <c r="K242" s="459" t="s">
        <v>1203</v>
      </c>
      <c r="L242" s="460" t="s">
        <v>1191</v>
      </c>
      <c r="M242" s="463">
        <f t="shared" ref="M242:AB247" si="50">+IF($L242=M$10,IF($K242=M$11,1,0),0)</f>
        <v>0</v>
      </c>
      <c r="N242" s="463">
        <f t="shared" si="50"/>
        <v>0</v>
      </c>
      <c r="O242" s="463">
        <f t="shared" si="50"/>
        <v>0</v>
      </c>
      <c r="P242" s="463">
        <f t="shared" si="50"/>
        <v>0</v>
      </c>
      <c r="Q242" s="463">
        <f t="shared" si="50"/>
        <v>0</v>
      </c>
      <c r="R242" s="463">
        <f t="shared" si="50"/>
        <v>0</v>
      </c>
      <c r="S242" s="463">
        <f t="shared" si="50"/>
        <v>0</v>
      </c>
      <c r="T242" s="463">
        <f t="shared" si="50"/>
        <v>0</v>
      </c>
      <c r="U242" s="463">
        <f t="shared" si="50"/>
        <v>0</v>
      </c>
      <c r="V242" s="463">
        <f t="shared" si="50"/>
        <v>0</v>
      </c>
      <c r="W242" s="463">
        <f t="shared" si="50"/>
        <v>0</v>
      </c>
      <c r="X242" s="463">
        <f t="shared" si="34"/>
        <v>0</v>
      </c>
      <c r="Y242" s="463">
        <f t="shared" si="34"/>
        <v>0</v>
      </c>
      <c r="Z242" s="463">
        <f t="shared" si="34"/>
        <v>0</v>
      </c>
      <c r="AA242" s="463">
        <f t="shared" si="34"/>
        <v>1</v>
      </c>
      <c r="AB242" s="463">
        <f t="shared" si="34"/>
        <v>0</v>
      </c>
      <c r="AC242" s="463">
        <f t="shared" si="34"/>
        <v>0</v>
      </c>
      <c r="AD242" s="463">
        <f t="shared" si="34"/>
        <v>0</v>
      </c>
      <c r="AE242" s="463">
        <f t="shared" si="34"/>
        <v>0</v>
      </c>
      <c r="AF242" s="621">
        <f t="shared" si="34"/>
        <v>0</v>
      </c>
      <c r="AG242" s="573"/>
      <c r="AH242" s="464"/>
      <c r="AI242" s="464"/>
      <c r="AJ242" s="464"/>
      <c r="AK242" s="464"/>
      <c r="AL242" s="465">
        <f>+IF($I242=AL$10,IF($L242=AL$11,#REF!,0),0)</f>
        <v>0</v>
      </c>
      <c r="AM242" s="463">
        <f>+IF($I242=AM$10,IF($L242=AM$11,#REF!,0),0)</f>
        <v>0</v>
      </c>
      <c r="AN242" s="464">
        <f>+IF($I242=AN$10,IF($L242=AN$11,#REF!,0),0)</f>
        <v>0</v>
      </c>
      <c r="AO242" s="464">
        <f>+IF($I242=AO$10,IF($L242=AO$11,#REF!,0),0)</f>
        <v>0</v>
      </c>
      <c r="AP242" s="464">
        <v>1</v>
      </c>
      <c r="AQ242" s="464">
        <f>+IF($I242=AQ$10,IF($L242=AQ$11,#REF!,0),0)</f>
        <v>0</v>
      </c>
      <c r="AR242" s="465">
        <f>+IF($I242=AR$10,IF($L242=AR$11,#REF!,0),0)</f>
        <v>0</v>
      </c>
      <c r="AS242" s="463">
        <f>+IF($I242=AS$10,IF($L242=AS$11,#REF!,0),0)</f>
        <v>0</v>
      </c>
      <c r="AT242" s="464">
        <f>+IF($I242=AT$10,IF($L242=AT$11,#REF!,0),0)</f>
        <v>0</v>
      </c>
      <c r="AU242" s="464">
        <f>+IF($I242=AU$10,IF($L242=AU$11,#REF!,0),0)</f>
        <v>0</v>
      </c>
      <c r="AV242" s="464">
        <f>+IF($I242=AV$10,IF($L242=AV$11,#REF!,0),0)</f>
        <v>0</v>
      </c>
      <c r="AW242" s="464">
        <f>+IF($I242=AW$10,IF($L242=AW$11,#REF!,0),0)</f>
        <v>0</v>
      </c>
      <c r="AX242" s="465">
        <f>+IF($I242=AX$10,IF($L242=AX$11,#REF!,0),0)</f>
        <v>0</v>
      </c>
      <c r="AY242" s="463">
        <f>+IF($I242=AY$10,IF($L242=AY$11,#REF!,0),0)</f>
        <v>0</v>
      </c>
      <c r="AZ242" s="464">
        <f>+IF($I242=AZ$10,IF($L242=AZ$11,#REF!,0),0)</f>
        <v>0</v>
      </c>
      <c r="BA242" s="464">
        <f>+IF($I242=BA$10,IF($L242=BA$11,#REF!,0),0)</f>
        <v>0</v>
      </c>
      <c r="BB242" s="464">
        <f>+IF($I242=BB$10,IF($L242=BB$11,#REF!,0),0)</f>
        <v>0</v>
      </c>
      <c r="BC242" s="464">
        <f>+IF($I242=BC$10,IF($L242=BC$11,#REF!,0),0)</f>
        <v>0</v>
      </c>
      <c r="BD242" s="465">
        <f>+IF($I242=BD$10,IF($L242=BD$11,#REF!,0),0)</f>
        <v>0</v>
      </c>
      <c r="BE242" s="463">
        <f>+IF($I242=BE$10,IF($L242=BE$11,#REF!,0),0)</f>
        <v>0</v>
      </c>
      <c r="BF242" s="464">
        <f>+IF($I242=BF$10,IF($L242=BF$11,#REF!,0),0)</f>
        <v>0</v>
      </c>
      <c r="BG242" s="464">
        <f>+IF($I242=BG$10,IF($L242=BG$11,#REF!,0),0)</f>
        <v>0</v>
      </c>
      <c r="BH242" s="464">
        <f>+IF($I242=BH$10,IF($L242=BH$11,#REF!,0),0)</f>
        <v>0</v>
      </c>
      <c r="BI242" s="464">
        <f>+IF($I242=BI$10,IF($L242=BI$11,#REF!,0),0)</f>
        <v>0</v>
      </c>
      <c r="BJ242" s="466">
        <f>+IF($I242=BJ$10,IF($L242=BJ$11,#REF!,0),0)</f>
        <v>0</v>
      </c>
    </row>
    <row r="243" spans="5:62" s="467" customFormat="1" ht="16.5" hidden="1" customHeight="1">
      <c r="E243" s="454" t="s">
        <v>1217</v>
      </c>
      <c r="F243" s="455"/>
      <c r="G243" s="456"/>
      <c r="H243" s="457" t="str">
        <f t="shared" si="48"/>
        <v>-</v>
      </c>
      <c r="I243" s="458" t="str">
        <f t="shared" si="47"/>
        <v>POSTE DE ALUMBRADO</v>
      </c>
      <c r="J243" s="566"/>
      <c r="K243" s="459" t="s">
        <v>1204</v>
      </c>
      <c r="L243" s="460" t="s">
        <v>1191</v>
      </c>
      <c r="M243" s="463">
        <f t="shared" si="50"/>
        <v>0</v>
      </c>
      <c r="N243" s="463">
        <f t="shared" si="50"/>
        <v>0</v>
      </c>
      <c r="O243" s="463">
        <f t="shared" si="50"/>
        <v>0</v>
      </c>
      <c r="P243" s="463">
        <f t="shared" si="50"/>
        <v>0</v>
      </c>
      <c r="Q243" s="463">
        <f t="shared" si="50"/>
        <v>0</v>
      </c>
      <c r="R243" s="463">
        <f t="shared" si="50"/>
        <v>0</v>
      </c>
      <c r="S243" s="463">
        <f t="shared" si="50"/>
        <v>0</v>
      </c>
      <c r="T243" s="463">
        <f t="shared" si="50"/>
        <v>0</v>
      </c>
      <c r="U243" s="463">
        <f t="shared" si="50"/>
        <v>0</v>
      </c>
      <c r="V243" s="463">
        <f t="shared" si="50"/>
        <v>0</v>
      </c>
      <c r="W243" s="463">
        <f t="shared" si="50"/>
        <v>0</v>
      </c>
      <c r="X243" s="463">
        <f t="shared" si="34"/>
        <v>0</v>
      </c>
      <c r="Y243" s="463">
        <f t="shared" si="34"/>
        <v>0</v>
      </c>
      <c r="Z243" s="463">
        <f t="shared" si="34"/>
        <v>0</v>
      </c>
      <c r="AA243" s="463">
        <f t="shared" si="34"/>
        <v>0</v>
      </c>
      <c r="AB243" s="463">
        <f t="shared" si="34"/>
        <v>1</v>
      </c>
      <c r="AC243" s="463">
        <f t="shared" si="34"/>
        <v>0</v>
      </c>
      <c r="AD243" s="463">
        <f t="shared" si="34"/>
        <v>0</v>
      </c>
      <c r="AE243" s="463">
        <f t="shared" si="34"/>
        <v>0</v>
      </c>
      <c r="AF243" s="621">
        <f t="shared" si="34"/>
        <v>0</v>
      </c>
      <c r="AG243" s="573"/>
      <c r="AH243" s="464"/>
      <c r="AI243" s="464"/>
      <c r="AJ243" s="464"/>
      <c r="AK243" s="464"/>
      <c r="AL243" s="465">
        <f>+IF($I243=AL$10,IF($L243=AL$11,#REF!,0),0)</f>
        <v>0</v>
      </c>
      <c r="AM243" s="463">
        <f>+IF($I243=AM$10,IF($L243=AM$11,#REF!,0),0)</f>
        <v>0</v>
      </c>
      <c r="AN243" s="464">
        <f>+IF($I243=AN$10,IF($L243=AN$11,#REF!,0),0)</f>
        <v>0</v>
      </c>
      <c r="AO243" s="464">
        <f>+IF($I243=AO$10,IF($L243=AO$11,#REF!,0),0)</f>
        <v>0</v>
      </c>
      <c r="AP243" s="464">
        <f>+IF($I243=AP$10,IF($L243=AP$11,#REF!,0),0)</f>
        <v>0</v>
      </c>
      <c r="AQ243" s="464">
        <f>+IF($I243=AQ$10,IF($L243=AQ$11,#REF!,0),0)</f>
        <v>0</v>
      </c>
      <c r="AR243" s="465">
        <f>+IF($I243=AR$10,IF($L243=AR$11,#REF!,0),0)</f>
        <v>0</v>
      </c>
      <c r="AS243" s="463">
        <f>+IF($I243=AS$10,IF($L243=AS$11,#REF!,0),0)</f>
        <v>0</v>
      </c>
      <c r="AT243" s="464">
        <f>+IF($I243=AT$10,IF($L243=AT$11,#REF!,0),0)</f>
        <v>0</v>
      </c>
      <c r="AU243" s="464">
        <f>+IF($I243=AU$10,IF($L243=AU$11,#REF!,0),0)</f>
        <v>0</v>
      </c>
      <c r="AV243" s="464">
        <v>1</v>
      </c>
      <c r="AW243" s="464">
        <f>+IF($I243=AW$10,IF($L243=AW$11,#REF!,0),0)</f>
        <v>0</v>
      </c>
      <c r="AX243" s="465">
        <f>+IF($I243=AX$10,IF($L243=AX$11,#REF!,0),0)</f>
        <v>0</v>
      </c>
      <c r="AY243" s="463">
        <f>+IF($I243=AY$10,IF($L243=AY$11,#REF!,0),0)</f>
        <v>0</v>
      </c>
      <c r="AZ243" s="464">
        <f>+IF($I243=AZ$10,IF($L243=AZ$11,#REF!,0),0)</f>
        <v>0</v>
      </c>
      <c r="BA243" s="464">
        <f>+IF($I243=BA$10,IF($L243=BA$11,#REF!,0),0)</f>
        <v>0</v>
      </c>
      <c r="BB243" s="464">
        <f>+IF($I243=BB$10,IF($L243=BB$11,#REF!,0),0)</f>
        <v>0</v>
      </c>
      <c r="BC243" s="464">
        <f>+IF($I243=BC$10,IF($L243=BC$11,#REF!,0),0)</f>
        <v>0</v>
      </c>
      <c r="BD243" s="465">
        <f>+IF($I243=BD$10,IF($L243=BD$11,#REF!,0),0)</f>
        <v>0</v>
      </c>
      <c r="BE243" s="463">
        <f>+IF($I243=BE$10,IF($L243=BE$11,#REF!,0),0)</f>
        <v>0</v>
      </c>
      <c r="BF243" s="464">
        <f>+IF($I243=BF$10,IF($L243=BF$11,#REF!,0),0)</f>
        <v>0</v>
      </c>
      <c r="BG243" s="464">
        <f>+IF($I243=BG$10,IF($L243=BG$11,#REF!,0),0)</f>
        <v>0</v>
      </c>
      <c r="BH243" s="464">
        <f>+IF($I243=BH$10,IF($L243=BH$11,#REF!,0),0)</f>
        <v>0</v>
      </c>
      <c r="BI243" s="464">
        <f>+IF($I243=BI$10,IF($L243=BI$11,#REF!,0),0)</f>
        <v>0</v>
      </c>
      <c r="BJ243" s="466">
        <f>+IF($I243=BJ$10,IF($L243=BJ$11,#REF!,0),0)</f>
        <v>0</v>
      </c>
    </row>
    <row r="244" spans="5:62" s="467" customFormat="1" ht="16.5" hidden="1" customHeight="1">
      <c r="E244" s="454" t="s">
        <v>1217</v>
      </c>
      <c r="F244" s="455"/>
      <c r="G244" s="456"/>
      <c r="H244" s="457" t="str">
        <f t="shared" ref="H244" si="51">+CONCATENATE(F244,"-",G244)</f>
        <v>-</v>
      </c>
      <c r="I244" s="458" t="str">
        <f t="shared" ref="I244" si="52">+IF(K244="PT","POSTE DE TELEFONO",IF(K244="PL","POSTE DE ALUMBRADO",IF(K244="PMT","POSTE DE MEDIA TENSIÓN",0)))</f>
        <v>POSTE DE ALUMBRADO</v>
      </c>
      <c r="J244" s="566"/>
      <c r="K244" s="459" t="s">
        <v>1204</v>
      </c>
      <c r="L244" s="460" t="s">
        <v>1191</v>
      </c>
      <c r="M244" s="463">
        <f t="shared" si="50"/>
        <v>0</v>
      </c>
      <c r="N244" s="463">
        <f t="shared" si="50"/>
        <v>0</v>
      </c>
      <c r="O244" s="463">
        <f t="shared" si="50"/>
        <v>0</v>
      </c>
      <c r="P244" s="463">
        <f t="shared" si="50"/>
        <v>0</v>
      </c>
      <c r="Q244" s="463">
        <f t="shared" si="50"/>
        <v>0</v>
      </c>
      <c r="R244" s="463">
        <f t="shared" si="50"/>
        <v>0</v>
      </c>
      <c r="S244" s="463">
        <f t="shared" si="50"/>
        <v>0</v>
      </c>
      <c r="T244" s="463">
        <f t="shared" si="50"/>
        <v>0</v>
      </c>
      <c r="U244" s="463">
        <f t="shared" si="50"/>
        <v>0</v>
      </c>
      <c r="V244" s="463">
        <f t="shared" si="50"/>
        <v>0</v>
      </c>
      <c r="W244" s="463">
        <f t="shared" si="50"/>
        <v>0</v>
      </c>
      <c r="X244" s="463">
        <f t="shared" si="50"/>
        <v>0</v>
      </c>
      <c r="Y244" s="463">
        <f t="shared" si="50"/>
        <v>0</v>
      </c>
      <c r="Z244" s="463">
        <f t="shared" si="50"/>
        <v>0</v>
      </c>
      <c r="AA244" s="463">
        <f t="shared" si="50"/>
        <v>0</v>
      </c>
      <c r="AB244" s="463">
        <f t="shared" si="50"/>
        <v>1</v>
      </c>
      <c r="AC244" s="463">
        <f t="shared" ref="AC244:AF244" si="53">+IF($L244=AC$10,IF($K244=AC$11,1,0),0)</f>
        <v>0</v>
      </c>
      <c r="AD244" s="463">
        <f t="shared" si="53"/>
        <v>0</v>
      </c>
      <c r="AE244" s="463">
        <f t="shared" si="53"/>
        <v>0</v>
      </c>
      <c r="AF244" s="621">
        <f t="shared" si="53"/>
        <v>0</v>
      </c>
      <c r="AG244" s="573"/>
      <c r="AH244" s="464"/>
      <c r="AI244" s="464"/>
      <c r="AJ244" s="464"/>
      <c r="AK244" s="464"/>
      <c r="AL244" s="465">
        <f>+IF($I244=AL$10,IF($L244=AL$11,#REF!,0),0)</f>
        <v>0</v>
      </c>
      <c r="AM244" s="463">
        <f>+IF($I244=AM$10,IF($L244=AM$11,#REF!,0),0)</f>
        <v>0</v>
      </c>
      <c r="AN244" s="464">
        <f>+IF($I244=AN$10,IF($L244=AN$11,#REF!,0),0)</f>
        <v>0</v>
      </c>
      <c r="AO244" s="464">
        <f>+IF($I244=AO$10,IF($L244=AO$11,#REF!,0),0)</f>
        <v>0</v>
      </c>
      <c r="AP244" s="464">
        <f>+IF($I244=AP$10,IF($L244=AP$11,#REF!,0),0)</f>
        <v>0</v>
      </c>
      <c r="AQ244" s="464">
        <f>+IF($I244=AQ$10,IF($L244=AQ$11,#REF!,0),0)</f>
        <v>0</v>
      </c>
      <c r="AR244" s="465">
        <f>+IF($I244=AR$10,IF($L244=AR$11,#REF!,0),0)</f>
        <v>0</v>
      </c>
      <c r="AS244" s="463">
        <f>+IF($I244=AS$10,IF($L244=AS$11,#REF!,0),0)</f>
        <v>0</v>
      </c>
      <c r="AT244" s="464">
        <f>+IF($I244=AT$10,IF($L244=AT$11,#REF!,0),0)</f>
        <v>0</v>
      </c>
      <c r="AU244" s="464">
        <f>+IF($I244=AU$10,IF($L244=AU$11,#REF!,0),0)</f>
        <v>0</v>
      </c>
      <c r="AV244" s="464">
        <v>1</v>
      </c>
      <c r="AW244" s="464">
        <f>+IF($I244=AW$10,IF($L244=AW$11,#REF!,0),0)</f>
        <v>0</v>
      </c>
      <c r="AX244" s="465">
        <f>+IF($I244=AX$10,IF($L244=AX$11,#REF!,0),0)</f>
        <v>0</v>
      </c>
      <c r="AY244" s="463">
        <f>+IF($I244=AY$10,IF($L244=AY$11,#REF!,0),0)</f>
        <v>0</v>
      </c>
      <c r="AZ244" s="464">
        <f>+IF($I244=AZ$10,IF($L244=AZ$11,#REF!,0),0)</f>
        <v>0</v>
      </c>
      <c r="BA244" s="464">
        <f>+IF($I244=BA$10,IF($L244=BA$11,#REF!,0),0)</f>
        <v>0</v>
      </c>
      <c r="BB244" s="464">
        <f>+IF($I244=BB$10,IF($L244=BB$11,#REF!,0),0)</f>
        <v>0</v>
      </c>
      <c r="BC244" s="464">
        <f>+IF($I244=BC$10,IF($L244=BC$11,#REF!,0),0)</f>
        <v>0</v>
      </c>
      <c r="BD244" s="465">
        <f>+IF($I244=BD$10,IF($L244=BD$11,#REF!,0),0)</f>
        <v>0</v>
      </c>
      <c r="BE244" s="463">
        <f>+IF($I244=BE$10,IF($L244=BE$11,#REF!,0),0)</f>
        <v>0</v>
      </c>
      <c r="BF244" s="464">
        <f>+IF($I244=BF$10,IF($L244=BF$11,#REF!,0),0)</f>
        <v>0</v>
      </c>
      <c r="BG244" s="464">
        <f>+IF($I244=BG$10,IF($L244=BG$11,#REF!,0),0)</f>
        <v>0</v>
      </c>
      <c r="BH244" s="464">
        <f>+IF($I244=BH$10,IF($L244=BH$11,#REF!,0),0)</f>
        <v>0</v>
      </c>
      <c r="BI244" s="464">
        <f>+IF($I244=BI$10,IF($L244=BI$11,#REF!,0),0)</f>
        <v>0</v>
      </c>
      <c r="BJ244" s="466">
        <f>+IF($I244=BJ$10,IF($L244=BJ$11,#REF!,0),0)</f>
        <v>0</v>
      </c>
    </row>
    <row r="245" spans="5:62" s="467" customFormat="1" ht="16.5" hidden="1" customHeight="1">
      <c r="E245" s="454" t="s">
        <v>1217</v>
      </c>
      <c r="F245" s="455"/>
      <c r="G245" s="456"/>
      <c r="H245" s="457" t="str">
        <f t="shared" si="48"/>
        <v>-</v>
      </c>
      <c r="I245" s="458" t="str">
        <f t="shared" si="47"/>
        <v>POSTE DE TELEFONO</v>
      </c>
      <c r="J245" s="566"/>
      <c r="K245" s="459" t="s">
        <v>1203</v>
      </c>
      <c r="L245" s="460" t="s">
        <v>1191</v>
      </c>
      <c r="M245" s="463">
        <f t="shared" si="50"/>
        <v>0</v>
      </c>
      <c r="N245" s="463">
        <f t="shared" si="50"/>
        <v>0</v>
      </c>
      <c r="O245" s="463">
        <f t="shared" si="50"/>
        <v>0</v>
      </c>
      <c r="P245" s="463">
        <f t="shared" si="50"/>
        <v>0</v>
      </c>
      <c r="Q245" s="463">
        <f t="shared" si="50"/>
        <v>0</v>
      </c>
      <c r="R245" s="463">
        <f t="shared" si="50"/>
        <v>0</v>
      </c>
      <c r="S245" s="463">
        <f t="shared" si="50"/>
        <v>0</v>
      </c>
      <c r="T245" s="463">
        <f t="shared" si="50"/>
        <v>0</v>
      </c>
      <c r="U245" s="463">
        <f t="shared" si="50"/>
        <v>0</v>
      </c>
      <c r="V245" s="463">
        <f t="shared" si="50"/>
        <v>0</v>
      </c>
      <c r="W245" s="463">
        <f t="shared" si="50"/>
        <v>0</v>
      </c>
      <c r="X245" s="463">
        <f t="shared" si="34"/>
        <v>0</v>
      </c>
      <c r="Y245" s="463">
        <f t="shared" si="34"/>
        <v>0</v>
      </c>
      <c r="Z245" s="463">
        <f t="shared" si="34"/>
        <v>0</v>
      </c>
      <c r="AA245" s="463">
        <f t="shared" si="34"/>
        <v>1</v>
      </c>
      <c r="AB245" s="463">
        <f t="shared" si="34"/>
        <v>0</v>
      </c>
      <c r="AC245" s="463">
        <f t="shared" si="34"/>
        <v>0</v>
      </c>
      <c r="AD245" s="463">
        <f t="shared" si="34"/>
        <v>0</v>
      </c>
      <c r="AE245" s="463">
        <f t="shared" si="34"/>
        <v>0</v>
      </c>
      <c r="AF245" s="621">
        <f t="shared" si="34"/>
        <v>0</v>
      </c>
      <c r="AG245" s="573"/>
      <c r="AH245" s="464"/>
      <c r="AI245" s="464"/>
      <c r="AJ245" s="464"/>
      <c r="AK245" s="464"/>
      <c r="AL245" s="465">
        <f>+IF($I245=AL$10,IF($L245=AL$11,#REF!,0),0)</f>
        <v>0</v>
      </c>
      <c r="AM245" s="463">
        <f>+IF($I245=AM$10,IF($L245=AM$11,#REF!,0),0)</f>
        <v>0</v>
      </c>
      <c r="AN245" s="464">
        <f>+IF($I245=AN$10,IF($L245=AN$11,#REF!,0),0)</f>
        <v>0</v>
      </c>
      <c r="AO245" s="464">
        <f>+IF($I245=AO$10,IF($L245=AO$11,#REF!,0),0)</f>
        <v>0</v>
      </c>
      <c r="AP245" s="464">
        <f>+IF($I245=AP$10,IF($L245=AP$11,#REF!,0),0)</f>
        <v>0</v>
      </c>
      <c r="AQ245" s="464">
        <f>+IF($I245=AQ$10,IF($L245=AQ$11,#REF!,0),0)</f>
        <v>0</v>
      </c>
      <c r="AR245" s="465">
        <f>+IF($I245=AR$10,IF($L245=AR$11,#REF!,0),0)</f>
        <v>0</v>
      </c>
      <c r="AS245" s="463">
        <f>+IF($I245=AS$10,IF($L245=AS$11,#REF!,0),0)</f>
        <v>0</v>
      </c>
      <c r="AT245" s="464">
        <f>+IF($I245=AT$10,IF($L245=AT$11,#REF!,0),0)</f>
        <v>0</v>
      </c>
      <c r="AU245" s="464">
        <f>+IF($I245=AU$10,IF($L245=AU$11,#REF!,0),0)</f>
        <v>0</v>
      </c>
      <c r="AV245" s="464">
        <f>+IF($I245=AV$10,IF($L245=AV$11,#REF!,0),0)</f>
        <v>0</v>
      </c>
      <c r="AW245" s="464">
        <f>+IF($I245=AW$10,IF($L245=AW$11,#REF!,0),0)</f>
        <v>0</v>
      </c>
      <c r="AX245" s="465">
        <f>+IF($I245=AX$10,IF($L245=AX$11,#REF!,0),0)</f>
        <v>0</v>
      </c>
      <c r="AY245" s="463">
        <v>1</v>
      </c>
      <c r="AZ245" s="464">
        <f>+IF($I245=AZ$10,IF($L245=AZ$11,#REF!,0),0)</f>
        <v>0</v>
      </c>
      <c r="BA245" s="464">
        <f>+IF($I245=BA$10,IF($L245=BA$11,#REF!,0),0)</f>
        <v>0</v>
      </c>
      <c r="BB245" s="464">
        <f>+IF($I245=BB$10,IF($L245=BB$11,#REF!,0),0)</f>
        <v>0</v>
      </c>
      <c r="BC245" s="464">
        <f>+IF($I245=BC$10,IF($L245=BC$11,#REF!,0),0)</f>
        <v>0</v>
      </c>
      <c r="BD245" s="465">
        <f>+IF($I245=BD$10,IF($L245=BD$11,#REF!,0),0)</f>
        <v>0</v>
      </c>
      <c r="BE245" s="463">
        <f>+IF($I245=BE$10,IF($L245=BE$11,#REF!,0),0)</f>
        <v>0</v>
      </c>
      <c r="BF245" s="464">
        <f>+IF($I245=BF$10,IF($L245=BF$11,#REF!,0),0)</f>
        <v>0</v>
      </c>
      <c r="BG245" s="464">
        <f>+IF($I245=BG$10,IF($L245=BG$11,#REF!,0),0)</f>
        <v>0</v>
      </c>
      <c r="BH245" s="464">
        <f>+IF($I245=BH$10,IF($L245=BH$11,#REF!,0),0)</f>
        <v>0</v>
      </c>
      <c r="BI245" s="464">
        <f>+IF($I245=BI$10,IF($L245=BI$11,#REF!,0),0)</f>
        <v>0</v>
      </c>
      <c r="BJ245" s="466">
        <f>+IF($I245=BJ$10,IF($L245=BJ$11,#REF!,0),0)</f>
        <v>0</v>
      </c>
    </row>
    <row r="246" spans="5:62" s="467" customFormat="1" ht="16.5" hidden="1" customHeight="1">
      <c r="E246" s="454" t="s">
        <v>1217</v>
      </c>
      <c r="F246" s="455"/>
      <c r="G246" s="456"/>
      <c r="H246" s="457" t="str">
        <f t="shared" si="48"/>
        <v>-</v>
      </c>
      <c r="I246" s="458" t="str">
        <f t="shared" si="47"/>
        <v>POSTE DE TELEFONO</v>
      </c>
      <c r="J246" s="566"/>
      <c r="K246" s="459" t="s">
        <v>1203</v>
      </c>
      <c r="L246" s="460" t="s">
        <v>1191</v>
      </c>
      <c r="M246" s="463">
        <f t="shared" si="50"/>
        <v>0</v>
      </c>
      <c r="N246" s="463">
        <f t="shared" si="50"/>
        <v>0</v>
      </c>
      <c r="O246" s="463">
        <f t="shared" si="50"/>
        <v>0</v>
      </c>
      <c r="P246" s="463">
        <f t="shared" si="50"/>
        <v>0</v>
      </c>
      <c r="Q246" s="463">
        <f t="shared" si="50"/>
        <v>0</v>
      </c>
      <c r="R246" s="463">
        <f t="shared" si="50"/>
        <v>0</v>
      </c>
      <c r="S246" s="463">
        <f t="shared" si="50"/>
        <v>0</v>
      </c>
      <c r="T246" s="463">
        <f t="shared" si="50"/>
        <v>0</v>
      </c>
      <c r="U246" s="463">
        <f t="shared" si="50"/>
        <v>0</v>
      </c>
      <c r="V246" s="463">
        <f t="shared" si="50"/>
        <v>0</v>
      </c>
      <c r="W246" s="463">
        <f t="shared" si="50"/>
        <v>0</v>
      </c>
      <c r="X246" s="463">
        <f t="shared" si="34"/>
        <v>0</v>
      </c>
      <c r="Y246" s="463">
        <f t="shared" si="34"/>
        <v>0</v>
      </c>
      <c r="Z246" s="463">
        <f t="shared" si="34"/>
        <v>0</v>
      </c>
      <c r="AA246" s="463">
        <f t="shared" si="34"/>
        <v>1</v>
      </c>
      <c r="AB246" s="463">
        <f t="shared" si="34"/>
        <v>0</v>
      </c>
      <c r="AC246" s="463">
        <f t="shared" si="34"/>
        <v>0</v>
      </c>
      <c r="AD246" s="463">
        <f t="shared" si="34"/>
        <v>0</v>
      </c>
      <c r="AE246" s="463">
        <f t="shared" si="34"/>
        <v>0</v>
      </c>
      <c r="AF246" s="621">
        <f t="shared" si="34"/>
        <v>0</v>
      </c>
      <c r="AG246" s="573"/>
      <c r="AH246" s="464"/>
      <c r="AI246" s="464"/>
      <c r="AJ246" s="464"/>
      <c r="AK246" s="464"/>
      <c r="AL246" s="465">
        <f>+IF($I246=AL$10,IF($L246=AL$11,#REF!,0),0)</f>
        <v>0</v>
      </c>
      <c r="AM246" s="463">
        <f>+IF($I246=AM$10,IF($L246=AM$11,#REF!,0),0)</f>
        <v>0</v>
      </c>
      <c r="AN246" s="464">
        <f>+IF($I246=AN$10,IF($L246=AN$11,#REF!,0),0)</f>
        <v>0</v>
      </c>
      <c r="AO246" s="464">
        <f>+IF($I246=AO$10,IF($L246=AO$11,#REF!,0),0)</f>
        <v>0</v>
      </c>
      <c r="AP246" s="464">
        <f>+IF($I246=AP$10,IF($L246=AP$11,#REF!,0),0)</f>
        <v>0</v>
      </c>
      <c r="AQ246" s="464">
        <f>+IF($I246=AQ$10,IF($L246=AQ$11,#REF!,0),0)</f>
        <v>0</v>
      </c>
      <c r="AR246" s="465">
        <f>+IF($I246=AR$10,IF($L246=AR$11,#REF!,0),0)</f>
        <v>0</v>
      </c>
      <c r="AS246" s="463">
        <f>+IF($I246=AS$10,IF($L246=AS$11,#REF!,0),0)</f>
        <v>0</v>
      </c>
      <c r="AT246" s="464">
        <f>+IF($I246=AT$10,IF($L246=AT$11,#REF!,0),0)</f>
        <v>0</v>
      </c>
      <c r="AU246" s="464">
        <f>+IF($I246=AU$10,IF($L246=AU$11,#REF!,0),0)</f>
        <v>0</v>
      </c>
      <c r="AV246" s="464">
        <f>+IF($I246=AV$10,IF($L246=AV$11,#REF!,0),0)</f>
        <v>0</v>
      </c>
      <c r="AW246" s="464">
        <f>+IF($I246=AW$10,IF($L246=AW$11,#REF!,0),0)</f>
        <v>0</v>
      </c>
      <c r="AX246" s="465">
        <f>+IF($I246=AX$10,IF($L246=AX$11,#REF!,0),0)</f>
        <v>0</v>
      </c>
      <c r="AY246" s="463">
        <f>+IF($I246=AY$10,IF($L246=AY$11,#REF!,0),0)</f>
        <v>0</v>
      </c>
      <c r="AZ246" s="464">
        <f>+IF($I246=AZ$10,IF($L246=AZ$11,#REF!,0),0)</f>
        <v>0</v>
      </c>
      <c r="BA246" s="464">
        <v>1</v>
      </c>
      <c r="BB246" s="464">
        <f>+IF($I246=BB$10,IF($L246=BB$11,#REF!,0),0)</f>
        <v>0</v>
      </c>
      <c r="BC246" s="464">
        <f>+IF($I246=BC$10,IF($L246=BC$11,#REF!,0),0)</f>
        <v>0</v>
      </c>
      <c r="BD246" s="465">
        <f>+IF($I246=BD$10,IF($L246=BD$11,#REF!,0),0)</f>
        <v>0</v>
      </c>
      <c r="BE246" s="463">
        <f>+IF($I246=BE$10,IF($L246=BE$11,#REF!,0),0)</f>
        <v>0</v>
      </c>
      <c r="BF246" s="464">
        <f>+IF($I246=BF$10,IF($L246=BF$11,#REF!,0),0)</f>
        <v>0</v>
      </c>
      <c r="BG246" s="464">
        <f>+IF($I246=BG$10,IF($L246=BG$11,#REF!,0),0)</f>
        <v>0</v>
      </c>
      <c r="BH246" s="464">
        <f>+IF($I246=BH$10,IF($L246=BH$11,#REF!,0),0)</f>
        <v>0</v>
      </c>
      <c r="BI246" s="464">
        <f>+IF($I246=BI$10,IF($L246=BI$11,#REF!,0),0)</f>
        <v>0</v>
      </c>
      <c r="BJ246" s="466">
        <f>+IF($I246=BJ$10,IF($L246=BJ$11,#REF!,0),0)</f>
        <v>0</v>
      </c>
    </row>
    <row r="247" spans="5:62" s="467" customFormat="1" ht="16.5" hidden="1" customHeight="1">
      <c r="E247" s="454" t="s">
        <v>1217</v>
      </c>
      <c r="F247" s="455"/>
      <c r="G247" s="456"/>
      <c r="H247" s="457" t="str">
        <f t="shared" si="48"/>
        <v>-</v>
      </c>
      <c r="I247" s="458" t="str">
        <f t="shared" si="47"/>
        <v>POSTE DE TELEFONO</v>
      </c>
      <c r="J247" s="566"/>
      <c r="K247" s="459" t="s">
        <v>1203</v>
      </c>
      <c r="L247" s="460" t="s">
        <v>1191</v>
      </c>
      <c r="M247" s="463">
        <f t="shared" si="50"/>
        <v>0</v>
      </c>
      <c r="N247" s="463">
        <f t="shared" si="50"/>
        <v>0</v>
      </c>
      <c r="O247" s="463">
        <f t="shared" si="50"/>
        <v>0</v>
      </c>
      <c r="P247" s="463">
        <f t="shared" si="50"/>
        <v>0</v>
      </c>
      <c r="Q247" s="463">
        <f t="shared" si="50"/>
        <v>0</v>
      </c>
      <c r="R247" s="463">
        <f t="shared" si="50"/>
        <v>0</v>
      </c>
      <c r="S247" s="463">
        <f t="shared" si="50"/>
        <v>0</v>
      </c>
      <c r="T247" s="463">
        <f t="shared" si="50"/>
        <v>0</v>
      </c>
      <c r="U247" s="463">
        <f t="shared" si="50"/>
        <v>0</v>
      </c>
      <c r="V247" s="463">
        <f t="shared" si="50"/>
        <v>0</v>
      </c>
      <c r="W247" s="463">
        <f t="shared" si="50"/>
        <v>0</v>
      </c>
      <c r="X247" s="463">
        <f t="shared" si="34"/>
        <v>0</v>
      </c>
      <c r="Y247" s="463">
        <f t="shared" si="34"/>
        <v>0</v>
      </c>
      <c r="Z247" s="463">
        <f t="shared" si="34"/>
        <v>0</v>
      </c>
      <c r="AA247" s="463">
        <f t="shared" si="34"/>
        <v>1</v>
      </c>
      <c r="AB247" s="463">
        <f t="shared" si="34"/>
        <v>0</v>
      </c>
      <c r="AC247" s="463">
        <f t="shared" si="34"/>
        <v>0</v>
      </c>
      <c r="AD247" s="463">
        <f t="shared" si="34"/>
        <v>0</v>
      </c>
      <c r="AE247" s="463">
        <f t="shared" si="34"/>
        <v>0</v>
      </c>
      <c r="AF247" s="621">
        <f t="shared" si="34"/>
        <v>0</v>
      </c>
      <c r="AG247" s="573"/>
      <c r="AH247" s="464"/>
      <c r="AI247" s="464"/>
      <c r="AJ247" s="464"/>
      <c r="AK247" s="464"/>
      <c r="AL247" s="465">
        <f>+IF($I247=AL$10,IF($L247=AL$11,#REF!,0),0)</f>
        <v>0</v>
      </c>
      <c r="AM247" s="463">
        <f>+IF($I247=AM$10,IF($L247=AM$11,#REF!,0),0)</f>
        <v>0</v>
      </c>
      <c r="AN247" s="464">
        <f>+IF($I247=AN$10,IF($L247=AN$11,#REF!,0),0)</f>
        <v>0</v>
      </c>
      <c r="AO247" s="464">
        <f>+IF($I247=AO$10,IF($L247=AO$11,#REF!,0),0)</f>
        <v>0</v>
      </c>
      <c r="AP247" s="464">
        <f>+IF($I247=AP$10,IF($L247=AP$11,#REF!,0),0)</f>
        <v>0</v>
      </c>
      <c r="AQ247" s="464">
        <f>+IF($I247=AQ$10,IF($L247=AQ$11,#REF!,0),0)</f>
        <v>0</v>
      </c>
      <c r="AR247" s="465">
        <f>+IF($I247=AR$10,IF($L247=AR$11,#REF!,0),0)</f>
        <v>0</v>
      </c>
      <c r="AS247" s="463">
        <f>+IF($I247=AS$10,IF($L247=AS$11,#REF!,0),0)</f>
        <v>0</v>
      </c>
      <c r="AT247" s="464">
        <f>+IF($I247=AT$10,IF($L247=AT$11,#REF!,0),0)</f>
        <v>0</v>
      </c>
      <c r="AU247" s="464">
        <f>+IF($I247=AU$10,IF($L247=AU$11,#REF!,0),0)</f>
        <v>0</v>
      </c>
      <c r="AV247" s="464">
        <f>+IF($I247=AV$10,IF($L247=AV$11,#REF!,0),0)</f>
        <v>0</v>
      </c>
      <c r="AW247" s="464">
        <f>+IF($I247=AW$10,IF($L247=AW$11,#REF!,0),0)</f>
        <v>0</v>
      </c>
      <c r="AX247" s="465">
        <f>+IF($I247=AX$10,IF($L247=AX$11,#REF!,0),0)</f>
        <v>0</v>
      </c>
      <c r="AY247" s="463">
        <f>+IF($I247=AY$10,IF($L247=AY$11,#REF!,0),0)</f>
        <v>0</v>
      </c>
      <c r="AZ247" s="464">
        <f>+IF($I247=AZ$10,IF($L247=AZ$11,#REF!,0),0)</f>
        <v>0</v>
      </c>
      <c r="BA247" s="464">
        <f>+IF($I247=BA$10,IF($L247=BA$11,#REF!,0),0)</f>
        <v>0</v>
      </c>
      <c r="BB247" s="464">
        <v>1</v>
      </c>
      <c r="BC247" s="464">
        <f>+IF($I247=BC$10,IF($L247=BC$11,#REF!,0),0)</f>
        <v>0</v>
      </c>
      <c r="BD247" s="465">
        <f>+IF($I247=BD$10,IF($L247=BD$11,#REF!,0),0)</f>
        <v>0</v>
      </c>
      <c r="BE247" s="463">
        <f>+IF($I247=BE$10,IF($L247=BE$11,#REF!,0),0)</f>
        <v>0</v>
      </c>
      <c r="BF247" s="464">
        <f>+IF($I247=BF$10,IF($L247=BF$11,#REF!,0),0)</f>
        <v>0</v>
      </c>
      <c r="BG247" s="464">
        <f>+IF($I247=BG$10,IF($L247=BG$11,#REF!,0),0)</f>
        <v>0</v>
      </c>
      <c r="BH247" s="464">
        <f>+IF($I247=BH$10,IF($L247=BH$11,#REF!,0),0)</f>
        <v>0</v>
      </c>
      <c r="BI247" s="464">
        <f>+IF($I247=BI$10,IF($L247=BI$11,#REF!,0),0)</f>
        <v>0</v>
      </c>
      <c r="BJ247" s="466">
        <f>+IF($I247=BJ$10,IF($L247=BJ$11,#REF!,0),0)</f>
        <v>0</v>
      </c>
    </row>
    <row r="248" spans="5:62" s="467" customFormat="1" ht="16.5" hidden="1" customHeight="1">
      <c r="E248" s="454" t="s">
        <v>1217</v>
      </c>
      <c r="F248" s="455"/>
      <c r="G248" s="456"/>
      <c r="H248" s="457" t="str">
        <f t="shared" si="16"/>
        <v>-</v>
      </c>
      <c r="I248" s="458" t="str">
        <f t="shared" si="47"/>
        <v>POSTE DE TELEFONO</v>
      </c>
      <c r="J248" s="566"/>
      <c r="K248" s="571" t="s">
        <v>1203</v>
      </c>
      <c r="L248" s="460" t="s">
        <v>1191</v>
      </c>
      <c r="M248" s="463">
        <f t="shared" si="33"/>
        <v>0</v>
      </c>
      <c r="N248" s="463">
        <f t="shared" si="33"/>
        <v>0</v>
      </c>
      <c r="O248" s="463">
        <f t="shared" si="33"/>
        <v>0</v>
      </c>
      <c r="P248" s="463">
        <f t="shared" si="33"/>
        <v>0</v>
      </c>
      <c r="Q248" s="463">
        <f t="shared" si="33"/>
        <v>0</v>
      </c>
      <c r="R248" s="463">
        <f t="shared" si="33"/>
        <v>0</v>
      </c>
      <c r="S248" s="463">
        <f t="shared" si="33"/>
        <v>0</v>
      </c>
      <c r="T248" s="463">
        <f t="shared" si="33"/>
        <v>0</v>
      </c>
      <c r="U248" s="463">
        <f t="shared" si="33"/>
        <v>0</v>
      </c>
      <c r="V248" s="463">
        <f t="shared" si="33"/>
        <v>0</v>
      </c>
      <c r="W248" s="463">
        <f t="shared" si="33"/>
        <v>0</v>
      </c>
      <c r="X248" s="463">
        <f t="shared" si="34"/>
        <v>0</v>
      </c>
      <c r="Y248" s="463">
        <f t="shared" si="34"/>
        <v>0</v>
      </c>
      <c r="Z248" s="463">
        <f t="shared" si="34"/>
        <v>0</v>
      </c>
      <c r="AA248" s="463">
        <f t="shared" si="34"/>
        <v>1</v>
      </c>
      <c r="AB248" s="463">
        <f t="shared" si="34"/>
        <v>0</v>
      </c>
      <c r="AC248" s="463">
        <f t="shared" si="34"/>
        <v>0</v>
      </c>
      <c r="AD248" s="463">
        <f t="shared" si="34"/>
        <v>0</v>
      </c>
      <c r="AE248" s="463">
        <f t="shared" si="34"/>
        <v>0</v>
      </c>
      <c r="AF248" s="621">
        <f t="shared" si="34"/>
        <v>0</v>
      </c>
      <c r="AG248" s="573"/>
      <c r="AH248" s="464"/>
      <c r="AI248" s="464"/>
      <c r="AJ248" s="464"/>
      <c r="AK248" s="464"/>
      <c r="AL248" s="465"/>
      <c r="AM248" s="463"/>
      <c r="AN248" s="464"/>
      <c r="AO248" s="464"/>
      <c r="AP248" s="464"/>
      <c r="AQ248" s="464"/>
      <c r="AR248" s="465"/>
      <c r="AS248" s="463"/>
      <c r="AT248" s="464"/>
      <c r="AU248" s="464"/>
      <c r="AV248" s="464"/>
      <c r="AW248" s="464"/>
      <c r="AX248" s="465"/>
      <c r="AY248" s="463"/>
      <c r="AZ248" s="464"/>
      <c r="BA248" s="464"/>
      <c r="BB248" s="464"/>
      <c r="BC248" s="464"/>
      <c r="BD248" s="465"/>
      <c r="BE248" s="463"/>
      <c r="BF248" s="464"/>
      <c r="BG248" s="464"/>
      <c r="BH248" s="464">
        <f>+IF($I248=BH$10,IF($L248=BH$11,#REF!,0),0)</f>
        <v>0</v>
      </c>
      <c r="BI248" s="464">
        <f>+IF($I248=BI$10,IF($L248=BI$11,#REF!,0),0)</f>
        <v>0</v>
      </c>
      <c r="BJ248" s="466">
        <f>+IF($I248=BJ$10,IF($L248=BJ$11,#REF!,0),0)</f>
        <v>0</v>
      </c>
    </row>
    <row r="249" spans="5:62" s="467" customFormat="1" ht="16.5" hidden="1" customHeight="1">
      <c r="E249" s="454" t="s">
        <v>1217</v>
      </c>
      <c r="F249" s="455"/>
      <c r="G249" s="456"/>
      <c r="H249" s="457" t="str">
        <f t="shared" si="16"/>
        <v>-</v>
      </c>
      <c r="I249" s="458" t="str">
        <f t="shared" si="47"/>
        <v>POSTE DE ALUMBRADO</v>
      </c>
      <c r="J249" s="566"/>
      <c r="K249" s="571" t="s">
        <v>1204</v>
      </c>
      <c r="L249" s="460" t="s">
        <v>1191</v>
      </c>
      <c r="M249" s="463">
        <f t="shared" si="33"/>
        <v>0</v>
      </c>
      <c r="N249" s="463">
        <f t="shared" si="33"/>
        <v>0</v>
      </c>
      <c r="O249" s="463">
        <f t="shared" si="33"/>
        <v>0</v>
      </c>
      <c r="P249" s="463">
        <f t="shared" si="33"/>
        <v>0</v>
      </c>
      <c r="Q249" s="463">
        <f t="shared" si="33"/>
        <v>0</v>
      </c>
      <c r="R249" s="463">
        <f t="shared" si="33"/>
        <v>0</v>
      </c>
      <c r="S249" s="463">
        <f t="shared" si="33"/>
        <v>0</v>
      </c>
      <c r="T249" s="463">
        <f t="shared" si="33"/>
        <v>0</v>
      </c>
      <c r="U249" s="463">
        <f t="shared" si="33"/>
        <v>0</v>
      </c>
      <c r="V249" s="463">
        <f t="shared" si="33"/>
        <v>0</v>
      </c>
      <c r="W249" s="463">
        <f t="shared" si="33"/>
        <v>0</v>
      </c>
      <c r="X249" s="463">
        <f t="shared" si="34"/>
        <v>0</v>
      </c>
      <c r="Y249" s="463">
        <f t="shared" si="34"/>
        <v>0</v>
      </c>
      <c r="Z249" s="463">
        <f t="shared" si="34"/>
        <v>0</v>
      </c>
      <c r="AA249" s="463">
        <f t="shared" si="34"/>
        <v>0</v>
      </c>
      <c r="AB249" s="463">
        <f t="shared" si="34"/>
        <v>1</v>
      </c>
      <c r="AC249" s="463">
        <f t="shared" si="34"/>
        <v>0</v>
      </c>
      <c r="AD249" s="463">
        <f t="shared" si="34"/>
        <v>0</v>
      </c>
      <c r="AE249" s="463">
        <f t="shared" si="34"/>
        <v>0</v>
      </c>
      <c r="AF249" s="621">
        <f t="shared" si="34"/>
        <v>0</v>
      </c>
      <c r="AG249" s="573"/>
      <c r="AH249" s="464"/>
      <c r="AI249" s="464"/>
      <c r="AJ249" s="464"/>
      <c r="AK249" s="464"/>
      <c r="AL249" s="465"/>
      <c r="AM249" s="463"/>
      <c r="AN249" s="464"/>
      <c r="AO249" s="464"/>
      <c r="AP249" s="464"/>
      <c r="AQ249" s="464"/>
      <c r="AR249" s="465"/>
      <c r="AS249" s="463"/>
      <c r="AT249" s="464"/>
      <c r="AU249" s="464"/>
      <c r="AV249" s="464"/>
      <c r="AW249" s="464"/>
      <c r="AX249" s="465"/>
      <c r="AY249" s="463"/>
      <c r="AZ249" s="464"/>
      <c r="BA249" s="464"/>
      <c r="BB249" s="464"/>
      <c r="BC249" s="464"/>
      <c r="BD249" s="465"/>
      <c r="BE249" s="463"/>
      <c r="BF249" s="464"/>
      <c r="BG249" s="464"/>
      <c r="BH249" s="464">
        <f>+IF($I249=BH$10,IF($L249=BH$11,#REF!,0),0)</f>
        <v>0</v>
      </c>
      <c r="BI249" s="464">
        <f>+IF($I249=BI$10,IF($L249=BI$11,#REF!,0),0)</f>
        <v>0</v>
      </c>
      <c r="BJ249" s="466">
        <f>+IF($I249=BJ$10,IF($L249=BJ$11,#REF!,0),0)</f>
        <v>0</v>
      </c>
    </row>
    <row r="250" spans="5:62" s="467" customFormat="1" ht="16.5" hidden="1" customHeight="1">
      <c r="E250" s="454" t="s">
        <v>1217</v>
      </c>
      <c r="F250" s="455"/>
      <c r="G250" s="456"/>
      <c r="H250" s="457" t="str">
        <f t="shared" si="16"/>
        <v>-</v>
      </c>
      <c r="I250" s="458" t="str">
        <f t="shared" si="47"/>
        <v>POSTE DE TELEFONO</v>
      </c>
      <c r="J250" s="566"/>
      <c r="K250" s="459" t="s">
        <v>1203</v>
      </c>
      <c r="L250" s="460" t="s">
        <v>1191</v>
      </c>
      <c r="M250" s="463">
        <f t="shared" si="33"/>
        <v>0</v>
      </c>
      <c r="N250" s="463">
        <f t="shared" si="33"/>
        <v>0</v>
      </c>
      <c r="O250" s="463">
        <f t="shared" si="33"/>
        <v>0</v>
      </c>
      <c r="P250" s="463">
        <f t="shared" si="33"/>
        <v>0</v>
      </c>
      <c r="Q250" s="463">
        <f t="shared" si="33"/>
        <v>0</v>
      </c>
      <c r="R250" s="463">
        <f t="shared" si="33"/>
        <v>0</v>
      </c>
      <c r="S250" s="463">
        <f t="shared" si="33"/>
        <v>0</v>
      </c>
      <c r="T250" s="463">
        <f t="shared" si="33"/>
        <v>0</v>
      </c>
      <c r="U250" s="463">
        <f t="shared" si="33"/>
        <v>0</v>
      </c>
      <c r="V250" s="463">
        <f t="shared" si="33"/>
        <v>0</v>
      </c>
      <c r="W250" s="463">
        <f t="shared" si="33"/>
        <v>0</v>
      </c>
      <c r="X250" s="463">
        <f t="shared" si="34"/>
        <v>0</v>
      </c>
      <c r="Y250" s="463">
        <f t="shared" si="34"/>
        <v>0</v>
      </c>
      <c r="Z250" s="463">
        <f t="shared" si="34"/>
        <v>0</v>
      </c>
      <c r="AA250" s="463">
        <f t="shared" si="34"/>
        <v>1</v>
      </c>
      <c r="AB250" s="463">
        <f t="shared" si="34"/>
        <v>0</v>
      </c>
      <c r="AC250" s="463">
        <f t="shared" si="34"/>
        <v>0</v>
      </c>
      <c r="AD250" s="463">
        <f t="shared" si="34"/>
        <v>0</v>
      </c>
      <c r="AE250" s="463">
        <f t="shared" si="34"/>
        <v>0</v>
      </c>
      <c r="AF250" s="621">
        <f t="shared" si="34"/>
        <v>0</v>
      </c>
      <c r="AG250" s="573"/>
      <c r="AH250" s="464"/>
      <c r="AI250" s="464"/>
      <c r="AJ250" s="464"/>
      <c r="AK250" s="464"/>
      <c r="AL250" s="465">
        <f>+IF($I250=AL$10,IF($L250=AL$11,#REF!,0),0)</f>
        <v>0</v>
      </c>
      <c r="AM250" s="463">
        <f>+IF($I250=AM$10,IF($L250=AM$11,#REF!,0),0)</f>
        <v>0</v>
      </c>
      <c r="AN250" s="464">
        <f>+IF($I250=AN$10,IF($L250=AN$11,#REF!,0),0)</f>
        <v>0</v>
      </c>
      <c r="AO250" s="464">
        <f>+IF($I250=AO$10,IF($L250=AO$11,#REF!,0),0)</f>
        <v>0</v>
      </c>
      <c r="AP250" s="464">
        <f>+IF($I250=AP$10,IF($L250=AP$11,#REF!,0),0)</f>
        <v>0</v>
      </c>
      <c r="AQ250" s="464">
        <f>+IF($I250=AQ$10,IF($L250=AQ$11,#REF!,0),0)</f>
        <v>0</v>
      </c>
      <c r="AR250" s="465">
        <f>+IF($I250=AR$10,IF($L250=AR$11,#REF!,0),0)</f>
        <v>0</v>
      </c>
      <c r="AS250" s="463">
        <f>+IF($I250=AS$10,IF($L250=AS$11,#REF!,0),0)</f>
        <v>0</v>
      </c>
      <c r="AT250" s="464">
        <f>+IF($I250=AT$10,IF($L250=AT$11,#REF!,0),0)</f>
        <v>0</v>
      </c>
      <c r="AU250" s="464">
        <f>+IF($I250=AU$10,IF($L250=AU$11,#REF!,0),0)</f>
        <v>0</v>
      </c>
      <c r="AV250" s="464">
        <f>+IF($I250=AV$10,IF($L250=AV$11,#REF!,0),0)</f>
        <v>0</v>
      </c>
      <c r="AW250" s="464">
        <f>+IF($I250=AW$10,IF($L250=AW$11,#REF!,0),0)</f>
        <v>0</v>
      </c>
      <c r="AX250" s="465">
        <f>+IF($I250=AX$10,IF($L250=AX$11,#REF!,0),0)</f>
        <v>0</v>
      </c>
      <c r="AY250" s="463">
        <f>+IF($I250=AY$10,IF($L250=AY$11,#REF!,0),0)</f>
        <v>0</v>
      </c>
      <c r="AZ250" s="464">
        <f>+IF($I250=AZ$10,IF($L250=AZ$11,#REF!,0),0)</f>
        <v>0</v>
      </c>
      <c r="BA250" s="464">
        <f>+IF($I250=BA$10,IF($L250=BA$11,#REF!,0),0)</f>
        <v>0</v>
      </c>
      <c r="BB250" s="464">
        <f>+IF($I250=BB$10,IF($L250=BB$11,#REF!,0),0)</f>
        <v>0</v>
      </c>
      <c r="BC250" s="464">
        <f>+IF($I250=BC$10,IF($L250=BC$11,#REF!,0),0)</f>
        <v>0</v>
      </c>
      <c r="BD250" s="465">
        <f>+IF($I250=BD$10,IF($L250=BD$11,#REF!,0),0)</f>
        <v>0</v>
      </c>
      <c r="BE250" s="463">
        <f>+IF($I250=BE$10,IF($L250=BE$11,#REF!,0),0)</f>
        <v>0</v>
      </c>
      <c r="BF250" s="464">
        <f>+IF($I250=BF$10,IF($L250=BF$11,#REF!,0),0)</f>
        <v>0</v>
      </c>
      <c r="BG250" s="464">
        <f>+IF($I250=BG$10,IF($L250=BG$11,#REF!,0),0)</f>
        <v>0</v>
      </c>
      <c r="BH250" s="464">
        <f>+IF($I250=BH$10,IF($L250=BH$11,#REF!,0),0)</f>
        <v>0</v>
      </c>
      <c r="BI250" s="464">
        <f>+IF($I250=BI$10,IF($L250=BI$11,#REF!,0),0)</f>
        <v>0</v>
      </c>
      <c r="BJ250" s="466">
        <f>+IF($I250=BJ$10,IF($L250=BJ$11,#REF!,0),0)</f>
        <v>0</v>
      </c>
    </row>
    <row r="251" spans="5:62" s="467" customFormat="1" ht="16.5" hidden="1" customHeight="1">
      <c r="E251" s="454" t="s">
        <v>1217</v>
      </c>
      <c r="F251" s="455"/>
      <c r="G251" s="456"/>
      <c r="H251" s="457" t="str">
        <f t="shared" si="16"/>
        <v>-</v>
      </c>
      <c r="I251" s="458" t="str">
        <f t="shared" si="47"/>
        <v>POSTE DE ALUMBRADO</v>
      </c>
      <c r="J251" s="566"/>
      <c r="K251" s="459" t="s">
        <v>1204</v>
      </c>
      <c r="L251" s="460" t="s">
        <v>1191</v>
      </c>
      <c r="M251" s="463">
        <f t="shared" si="33"/>
        <v>0</v>
      </c>
      <c r="N251" s="463">
        <f t="shared" si="33"/>
        <v>0</v>
      </c>
      <c r="O251" s="463">
        <f t="shared" si="33"/>
        <v>0</v>
      </c>
      <c r="P251" s="463">
        <f t="shared" si="33"/>
        <v>0</v>
      </c>
      <c r="Q251" s="463">
        <f t="shared" si="33"/>
        <v>0</v>
      </c>
      <c r="R251" s="463">
        <f t="shared" si="33"/>
        <v>0</v>
      </c>
      <c r="S251" s="463">
        <f t="shared" si="33"/>
        <v>0</v>
      </c>
      <c r="T251" s="463">
        <f t="shared" si="33"/>
        <v>0</v>
      </c>
      <c r="U251" s="463">
        <f t="shared" si="33"/>
        <v>0</v>
      </c>
      <c r="V251" s="463">
        <f t="shared" si="33"/>
        <v>0</v>
      </c>
      <c r="W251" s="463">
        <f t="shared" si="33"/>
        <v>0</v>
      </c>
      <c r="X251" s="463">
        <f t="shared" si="34"/>
        <v>0</v>
      </c>
      <c r="Y251" s="463">
        <f t="shared" si="34"/>
        <v>0</v>
      </c>
      <c r="Z251" s="463">
        <f t="shared" si="34"/>
        <v>0</v>
      </c>
      <c r="AA251" s="463">
        <f t="shared" si="34"/>
        <v>0</v>
      </c>
      <c r="AB251" s="463">
        <f t="shared" si="34"/>
        <v>1</v>
      </c>
      <c r="AC251" s="463">
        <f t="shared" si="34"/>
        <v>0</v>
      </c>
      <c r="AD251" s="463">
        <f t="shared" si="34"/>
        <v>0</v>
      </c>
      <c r="AE251" s="463">
        <f t="shared" si="34"/>
        <v>0</v>
      </c>
      <c r="AF251" s="621">
        <f t="shared" si="34"/>
        <v>0</v>
      </c>
      <c r="AG251" s="573"/>
      <c r="AH251" s="464"/>
      <c r="AI251" s="464"/>
      <c r="AJ251" s="464"/>
      <c r="AK251" s="464"/>
      <c r="AL251" s="465">
        <f>+IF($I251=AL$10,IF($L251=AL$11,#REF!,0),0)</f>
        <v>0</v>
      </c>
      <c r="AM251" s="463">
        <f>+IF($I251=AM$10,IF($L251=AM$11,#REF!,0),0)</f>
        <v>0</v>
      </c>
      <c r="AN251" s="464">
        <f>+IF($I251=AN$10,IF($L251=AN$11,#REF!,0),0)</f>
        <v>0</v>
      </c>
      <c r="AO251" s="464">
        <f>+IF($I251=AO$10,IF($L251=AO$11,#REF!,0),0)</f>
        <v>0</v>
      </c>
      <c r="AP251" s="464">
        <f>+IF($I251=AP$10,IF($L251=AP$11,#REF!,0),0)</f>
        <v>0</v>
      </c>
      <c r="AQ251" s="464">
        <f>+IF($I251=AQ$10,IF($L251=AQ$11,#REF!,0),0)</f>
        <v>0</v>
      </c>
      <c r="AR251" s="465">
        <f>+IF($I251=AR$10,IF($L251=AR$11,#REF!,0),0)</f>
        <v>0</v>
      </c>
      <c r="AS251" s="463">
        <f>+IF($I251=AS$10,IF($L251=AS$11,#REF!,0),0)</f>
        <v>0</v>
      </c>
      <c r="AT251" s="464">
        <f>+IF($I251=AT$10,IF($L251=AT$11,#REF!,0),0)</f>
        <v>0</v>
      </c>
      <c r="AU251" s="464">
        <f>+IF($I251=AU$10,IF($L251=AU$11,#REF!,0),0)</f>
        <v>0</v>
      </c>
      <c r="AV251" s="464">
        <f>+IF($I251=AV$10,IF($L251=AV$11,#REF!,0),0)</f>
        <v>0</v>
      </c>
      <c r="AW251" s="464">
        <f>+IF($I251=AW$10,IF($L251=AW$11,#REF!,0),0)</f>
        <v>0</v>
      </c>
      <c r="AX251" s="465">
        <f>+IF($I251=AX$10,IF($L251=AX$11,#REF!,0),0)</f>
        <v>0</v>
      </c>
      <c r="AY251" s="463">
        <f>+IF($I251=AY$10,IF($L251=AY$11,#REF!,0),0)</f>
        <v>0</v>
      </c>
      <c r="AZ251" s="464">
        <f>+IF($I251=AZ$10,IF($L251=AZ$11,#REF!,0),0)</f>
        <v>0</v>
      </c>
      <c r="BA251" s="464">
        <f>+IF($I251=BA$10,IF($L251=BA$11,#REF!,0),0)</f>
        <v>0</v>
      </c>
      <c r="BB251" s="464">
        <f>+IF($I251=BB$10,IF($L251=BB$11,#REF!,0),0)</f>
        <v>0</v>
      </c>
      <c r="BC251" s="464">
        <f>+IF($I251=BC$10,IF($L251=BC$11,#REF!,0),0)</f>
        <v>0</v>
      </c>
      <c r="BD251" s="465">
        <f>+IF($I251=BD$10,IF($L251=BD$11,#REF!,0),0)</f>
        <v>0</v>
      </c>
      <c r="BE251" s="463">
        <f>+IF($I251=BE$10,IF($L251=BE$11,#REF!,0),0)</f>
        <v>0</v>
      </c>
      <c r="BF251" s="464">
        <f>+IF($I251=BF$10,IF($L251=BF$11,#REF!,0),0)</f>
        <v>0</v>
      </c>
      <c r="BG251" s="464">
        <f>+IF($I251=BG$10,IF($L251=BG$11,#REF!,0),0)</f>
        <v>0</v>
      </c>
      <c r="BH251" s="464">
        <f>+IF($I251=BH$10,IF($L251=BH$11,#REF!,0),0)</f>
        <v>0</v>
      </c>
      <c r="BI251" s="464">
        <f>+IF($I251=BI$10,IF($L251=BI$11,#REF!,0),0)</f>
        <v>0</v>
      </c>
      <c r="BJ251" s="466">
        <f>+IF($I251=BJ$10,IF($L251=BJ$11,#REF!,0),0)</f>
        <v>0</v>
      </c>
    </row>
    <row r="252" spans="5:62" s="467" customFormat="1" ht="16.5" hidden="1" customHeight="1">
      <c r="E252" s="454" t="s">
        <v>1217</v>
      </c>
      <c r="F252" s="455"/>
      <c r="G252" s="456"/>
      <c r="H252" s="457" t="str">
        <f t="shared" si="16"/>
        <v>-</v>
      </c>
      <c r="I252" s="458" t="str">
        <f t="shared" si="47"/>
        <v>POSTE DE ALUMBRADO</v>
      </c>
      <c r="J252" s="566"/>
      <c r="K252" s="459" t="s">
        <v>1204</v>
      </c>
      <c r="L252" s="460" t="s">
        <v>1191</v>
      </c>
      <c r="M252" s="463">
        <f t="shared" si="33"/>
        <v>0</v>
      </c>
      <c r="N252" s="463">
        <f t="shared" si="33"/>
        <v>0</v>
      </c>
      <c r="O252" s="463">
        <f t="shared" si="33"/>
        <v>0</v>
      </c>
      <c r="P252" s="463">
        <f t="shared" si="33"/>
        <v>0</v>
      </c>
      <c r="Q252" s="463">
        <f t="shared" si="33"/>
        <v>0</v>
      </c>
      <c r="R252" s="463">
        <f t="shared" si="33"/>
        <v>0</v>
      </c>
      <c r="S252" s="463">
        <f t="shared" si="33"/>
        <v>0</v>
      </c>
      <c r="T252" s="463">
        <f t="shared" si="33"/>
        <v>0</v>
      </c>
      <c r="U252" s="463">
        <f t="shared" si="33"/>
        <v>0</v>
      </c>
      <c r="V252" s="463">
        <f t="shared" si="33"/>
        <v>0</v>
      </c>
      <c r="W252" s="463">
        <f t="shared" si="33"/>
        <v>0</v>
      </c>
      <c r="X252" s="463">
        <f t="shared" si="34"/>
        <v>0</v>
      </c>
      <c r="Y252" s="463">
        <f t="shared" si="34"/>
        <v>0</v>
      </c>
      <c r="Z252" s="463">
        <f t="shared" si="34"/>
        <v>0</v>
      </c>
      <c r="AA252" s="463">
        <f t="shared" si="34"/>
        <v>0</v>
      </c>
      <c r="AB252" s="463">
        <f t="shared" si="34"/>
        <v>1</v>
      </c>
      <c r="AC252" s="463">
        <f t="shared" si="34"/>
        <v>0</v>
      </c>
      <c r="AD252" s="463">
        <f t="shared" si="34"/>
        <v>0</v>
      </c>
      <c r="AE252" s="463">
        <f t="shared" si="34"/>
        <v>0</v>
      </c>
      <c r="AF252" s="621">
        <f t="shared" si="34"/>
        <v>0</v>
      </c>
      <c r="AG252" s="573"/>
      <c r="AH252" s="464"/>
      <c r="AI252" s="464"/>
      <c r="AJ252" s="464"/>
      <c r="AK252" s="464"/>
      <c r="AL252" s="465">
        <f>+IF($I252=AL$10,IF($L252=AL$11,#REF!,0),0)</f>
        <v>0</v>
      </c>
      <c r="AM252" s="463">
        <f>+IF($I252=AM$10,IF($L252=AM$11,#REF!,0),0)</f>
        <v>0</v>
      </c>
      <c r="AN252" s="464">
        <f>+IF($I252=AN$10,IF($L252=AN$11,#REF!,0),0)</f>
        <v>0</v>
      </c>
      <c r="AO252" s="464">
        <f>+IF($I252=AO$10,IF($L252=AO$11,#REF!,0),0)</f>
        <v>0</v>
      </c>
      <c r="AP252" s="464">
        <f>+IF($I252=AP$10,IF($L252=AP$11,#REF!,0),0)</f>
        <v>0</v>
      </c>
      <c r="AQ252" s="464">
        <f>+IF($I252=AQ$10,IF($L252=AQ$11,#REF!,0),0)</f>
        <v>0</v>
      </c>
      <c r="AR252" s="465">
        <f>+IF($I252=AR$10,IF($L252=AR$11,#REF!,0),0)</f>
        <v>0</v>
      </c>
      <c r="AS252" s="463">
        <f>+IF($I252=AS$10,IF($L252=AS$11,#REF!,0),0)</f>
        <v>0</v>
      </c>
      <c r="AT252" s="464">
        <f>+IF($I252=AT$10,IF($L252=AT$11,#REF!,0),0)</f>
        <v>0</v>
      </c>
      <c r="AU252" s="464">
        <f>+IF($I252=AU$10,IF($L252=AU$11,#REF!,0),0)</f>
        <v>0</v>
      </c>
      <c r="AV252" s="464">
        <f>+IF($I252=AV$10,IF($L252=AV$11,#REF!,0),0)</f>
        <v>0</v>
      </c>
      <c r="AW252" s="464">
        <f>+IF($I252=AW$10,IF($L252=AW$11,#REF!,0),0)</f>
        <v>0</v>
      </c>
      <c r="AX252" s="465">
        <f>+IF($I252=AX$10,IF($L252=AX$11,#REF!,0),0)</f>
        <v>0</v>
      </c>
      <c r="AY252" s="463">
        <f>+IF($I252=AY$10,IF($L252=AY$11,#REF!,0),0)</f>
        <v>0</v>
      </c>
      <c r="AZ252" s="464">
        <f>+IF($I252=AZ$10,IF($L252=AZ$11,#REF!,0),0)</f>
        <v>0</v>
      </c>
      <c r="BA252" s="464">
        <f>+IF($I252=BA$10,IF($L252=BA$11,#REF!,0),0)</f>
        <v>0</v>
      </c>
      <c r="BB252" s="464">
        <f>+IF($I252=BB$10,IF($L252=BB$11,#REF!,0),0)</f>
        <v>0</v>
      </c>
      <c r="BC252" s="464">
        <f>+IF($I252=BC$10,IF($L252=BC$11,#REF!,0),0)</f>
        <v>0</v>
      </c>
      <c r="BD252" s="465">
        <f>+IF($I252=BD$10,IF($L252=BD$11,#REF!,0),0)</f>
        <v>0</v>
      </c>
      <c r="BE252" s="463">
        <f>+IF($I252=BE$10,IF($L252=BE$11,#REF!,0),0)</f>
        <v>0</v>
      </c>
      <c r="BF252" s="464">
        <f>+IF($I252=BF$10,IF($L252=BF$11,#REF!,0),0)</f>
        <v>0</v>
      </c>
      <c r="BG252" s="464">
        <f>+IF($I252=BG$10,IF($L252=BG$11,#REF!,0),0)</f>
        <v>0</v>
      </c>
      <c r="BH252" s="464">
        <f>+IF($I252=BH$10,IF($L252=BH$11,#REF!,0),0)</f>
        <v>0</v>
      </c>
      <c r="BI252" s="464">
        <f>+IF($I252=BI$10,IF($L252=BI$11,#REF!,0),0)</f>
        <v>0</v>
      </c>
      <c r="BJ252" s="466">
        <f>+IF($I252=BJ$10,IF($L252=BJ$11,#REF!,0),0)</f>
        <v>0</v>
      </c>
    </row>
    <row r="253" spans="5:62" s="467" customFormat="1" ht="16.5" hidden="1" customHeight="1">
      <c r="E253" s="454" t="s">
        <v>1217</v>
      </c>
      <c r="F253" s="455"/>
      <c r="G253" s="456"/>
      <c r="H253" s="457" t="str">
        <f t="shared" si="16"/>
        <v>-</v>
      </c>
      <c r="I253" s="458" t="str">
        <f t="shared" si="47"/>
        <v>POSTE DE TELEFONO</v>
      </c>
      <c r="J253" s="566"/>
      <c r="K253" s="459" t="s">
        <v>1203</v>
      </c>
      <c r="L253" s="460" t="s">
        <v>1191</v>
      </c>
      <c r="M253" s="463">
        <f t="shared" si="33"/>
        <v>0</v>
      </c>
      <c r="N253" s="463">
        <f t="shared" si="33"/>
        <v>0</v>
      </c>
      <c r="O253" s="463">
        <f t="shared" si="33"/>
        <v>0</v>
      </c>
      <c r="P253" s="463">
        <f t="shared" si="33"/>
        <v>0</v>
      </c>
      <c r="Q253" s="463">
        <f t="shared" si="33"/>
        <v>0</v>
      </c>
      <c r="R253" s="463">
        <f t="shared" si="33"/>
        <v>0</v>
      </c>
      <c r="S253" s="463">
        <f t="shared" si="33"/>
        <v>0</v>
      </c>
      <c r="T253" s="463">
        <f t="shared" si="33"/>
        <v>0</v>
      </c>
      <c r="U253" s="463">
        <f t="shared" si="33"/>
        <v>0</v>
      </c>
      <c r="V253" s="463">
        <f t="shared" si="33"/>
        <v>0</v>
      </c>
      <c r="W253" s="463">
        <f t="shared" si="33"/>
        <v>0</v>
      </c>
      <c r="X253" s="463">
        <f t="shared" si="34"/>
        <v>0</v>
      </c>
      <c r="Y253" s="463">
        <f t="shared" si="34"/>
        <v>0</v>
      </c>
      <c r="Z253" s="463">
        <f t="shared" si="34"/>
        <v>0</v>
      </c>
      <c r="AA253" s="463">
        <f t="shared" si="34"/>
        <v>1</v>
      </c>
      <c r="AB253" s="463">
        <f t="shared" si="34"/>
        <v>0</v>
      </c>
      <c r="AC253" s="463">
        <f t="shared" si="34"/>
        <v>0</v>
      </c>
      <c r="AD253" s="463">
        <f t="shared" si="34"/>
        <v>0</v>
      </c>
      <c r="AE253" s="463">
        <f t="shared" si="34"/>
        <v>0</v>
      </c>
      <c r="AF253" s="621">
        <f t="shared" si="34"/>
        <v>0</v>
      </c>
      <c r="AG253" s="573"/>
      <c r="AH253" s="464"/>
      <c r="AI253" s="464"/>
      <c r="AJ253" s="464"/>
      <c r="AK253" s="464"/>
      <c r="AL253" s="465">
        <f>+IF($I253=AL$10,IF($L253=AL$11,#REF!,0),0)</f>
        <v>0</v>
      </c>
      <c r="AM253" s="463">
        <f>+IF($I253=AM$10,IF($L253=AM$11,#REF!,0),0)</f>
        <v>0</v>
      </c>
      <c r="AN253" s="464">
        <f>+IF($I253=AN$10,IF($L253=AN$11,#REF!,0),0)</f>
        <v>0</v>
      </c>
      <c r="AO253" s="464">
        <f>+IF($I253=AO$10,IF($L253=AO$11,#REF!,0),0)</f>
        <v>0</v>
      </c>
      <c r="AP253" s="464">
        <f>+IF($I253=AP$10,IF($L253=AP$11,#REF!,0),0)</f>
        <v>0</v>
      </c>
      <c r="AQ253" s="464">
        <f>+IF($I253=AQ$10,IF($L253=AQ$11,#REF!,0),0)</f>
        <v>0</v>
      </c>
      <c r="AR253" s="465">
        <f>+IF($I253=AR$10,IF($L253=AR$11,#REF!,0),0)</f>
        <v>0</v>
      </c>
      <c r="AS253" s="463">
        <f>+IF($I253=AS$10,IF($L253=AS$11,#REF!,0),0)</f>
        <v>0</v>
      </c>
      <c r="AT253" s="464">
        <f>+IF($I253=AT$10,IF($L253=AT$11,#REF!,0),0)</f>
        <v>0</v>
      </c>
      <c r="AU253" s="464">
        <f>+IF($I253=AU$10,IF($L253=AU$11,#REF!,0),0)</f>
        <v>0</v>
      </c>
      <c r="AV253" s="464">
        <f>+IF($I253=AV$10,IF($L253=AV$11,#REF!,0),0)</f>
        <v>0</v>
      </c>
      <c r="AW253" s="464">
        <f>+IF($I253=AW$10,IF($L253=AW$11,#REF!,0),0)</f>
        <v>0</v>
      </c>
      <c r="AX253" s="465">
        <f>+IF($I253=AX$10,IF($L253=AX$11,#REF!,0),0)</f>
        <v>0</v>
      </c>
      <c r="AY253" s="463">
        <f>+IF($I253=AY$10,IF($L253=AY$11,#REF!,0),0)</f>
        <v>0</v>
      </c>
      <c r="AZ253" s="464">
        <f>+IF($I253=AZ$10,IF($L253=AZ$11,#REF!,0),0)</f>
        <v>0</v>
      </c>
      <c r="BA253" s="464">
        <f>+IF($I253=BA$10,IF($L253=BA$11,#REF!,0),0)</f>
        <v>0</v>
      </c>
      <c r="BB253" s="464">
        <f>+IF($I253=BB$10,IF($L253=BB$11,#REF!,0),0)</f>
        <v>0</v>
      </c>
      <c r="BC253" s="464">
        <f>+IF($I253=BC$10,IF($L253=BC$11,#REF!,0),0)</f>
        <v>0</v>
      </c>
      <c r="BD253" s="465">
        <f>+IF($I253=BD$10,IF($L253=BD$11,#REF!,0),0)</f>
        <v>0</v>
      </c>
      <c r="BE253" s="463">
        <f>+IF($I253=BE$10,IF($L253=BE$11,#REF!,0),0)</f>
        <v>0</v>
      </c>
      <c r="BF253" s="464">
        <f>+IF($I253=BF$10,IF($L253=BF$11,#REF!,0),0)</f>
        <v>0</v>
      </c>
      <c r="BG253" s="464">
        <f>+IF($I253=BG$10,IF($L253=BG$11,#REF!,0),0)</f>
        <v>0</v>
      </c>
      <c r="BH253" s="464">
        <f>+IF($I253=BH$10,IF($L253=BH$11,#REF!,0),0)</f>
        <v>0</v>
      </c>
      <c r="BI253" s="464">
        <f>+IF($I253=BI$10,IF($L253=BI$11,#REF!,0),0)</f>
        <v>0</v>
      </c>
      <c r="BJ253" s="466">
        <f>+IF($I253=BJ$10,IF($L253=BJ$11,#REF!,0),0)</f>
        <v>0</v>
      </c>
    </row>
    <row r="254" spans="5:62" s="467" customFormat="1" ht="16.5" hidden="1" customHeight="1">
      <c r="E254" s="454" t="s">
        <v>1217</v>
      </c>
      <c r="F254" s="455"/>
      <c r="G254" s="456"/>
      <c r="H254" s="457" t="str">
        <f t="shared" si="16"/>
        <v>-</v>
      </c>
      <c r="I254" s="458" t="str">
        <f t="shared" si="47"/>
        <v>POSTE DE ALUMBRADO</v>
      </c>
      <c r="J254" s="566"/>
      <c r="K254" s="459" t="s">
        <v>1204</v>
      </c>
      <c r="L254" s="460" t="s">
        <v>1191</v>
      </c>
      <c r="M254" s="463">
        <f t="shared" si="33"/>
        <v>0</v>
      </c>
      <c r="N254" s="463">
        <f t="shared" si="33"/>
        <v>0</v>
      </c>
      <c r="O254" s="463">
        <f t="shared" si="33"/>
        <v>0</v>
      </c>
      <c r="P254" s="463">
        <f t="shared" si="33"/>
        <v>0</v>
      </c>
      <c r="Q254" s="463">
        <f t="shared" si="33"/>
        <v>0</v>
      </c>
      <c r="R254" s="463">
        <f t="shared" si="33"/>
        <v>0</v>
      </c>
      <c r="S254" s="463">
        <f t="shared" si="33"/>
        <v>0</v>
      </c>
      <c r="T254" s="463">
        <f t="shared" si="33"/>
        <v>0</v>
      </c>
      <c r="U254" s="463">
        <f t="shared" si="33"/>
        <v>0</v>
      </c>
      <c r="V254" s="463">
        <f t="shared" si="33"/>
        <v>0</v>
      </c>
      <c r="W254" s="463">
        <f t="shared" si="33"/>
        <v>0</v>
      </c>
      <c r="X254" s="463">
        <f t="shared" si="34"/>
        <v>0</v>
      </c>
      <c r="Y254" s="463">
        <f t="shared" si="34"/>
        <v>0</v>
      </c>
      <c r="Z254" s="463">
        <f t="shared" si="34"/>
        <v>0</v>
      </c>
      <c r="AA254" s="463">
        <f t="shared" si="34"/>
        <v>0</v>
      </c>
      <c r="AB254" s="463">
        <f t="shared" si="34"/>
        <v>1</v>
      </c>
      <c r="AC254" s="463">
        <f t="shared" si="34"/>
        <v>0</v>
      </c>
      <c r="AD254" s="463">
        <f t="shared" si="34"/>
        <v>0</v>
      </c>
      <c r="AE254" s="463">
        <f t="shared" si="34"/>
        <v>0</v>
      </c>
      <c r="AF254" s="621">
        <f t="shared" si="34"/>
        <v>0</v>
      </c>
      <c r="AG254" s="573"/>
      <c r="AH254" s="464"/>
      <c r="AI254" s="464"/>
      <c r="AJ254" s="464"/>
      <c r="AK254" s="464"/>
      <c r="AL254" s="465">
        <f>+IF($I254=AL$10,IF($L254=AL$11,#REF!,0),0)</f>
        <v>0</v>
      </c>
      <c r="AM254" s="463">
        <f>+IF($I254=AM$10,IF($L254=AM$11,#REF!,0),0)</f>
        <v>0</v>
      </c>
      <c r="AN254" s="464">
        <f>+IF($I254=AN$10,IF($L254=AN$11,#REF!,0),0)</f>
        <v>0</v>
      </c>
      <c r="AO254" s="464">
        <f>+IF($I254=AO$10,IF($L254=AO$11,#REF!,0),0)</f>
        <v>0</v>
      </c>
      <c r="AP254" s="464">
        <f>+IF($I254=AP$10,IF($L254=AP$11,#REF!,0),0)</f>
        <v>0</v>
      </c>
      <c r="AQ254" s="464">
        <f>+IF($I254=AQ$10,IF($L254=AQ$11,#REF!,0),0)</f>
        <v>0</v>
      </c>
      <c r="AR254" s="465">
        <f>+IF($I254=AR$10,IF($L254=AR$11,#REF!,0),0)</f>
        <v>0</v>
      </c>
      <c r="AS254" s="463">
        <f>+IF($I254=AS$10,IF($L254=AS$11,#REF!,0),0)</f>
        <v>0</v>
      </c>
      <c r="AT254" s="464">
        <f>+IF($I254=AT$10,IF($L254=AT$11,#REF!,0),0)</f>
        <v>0</v>
      </c>
      <c r="AU254" s="464">
        <f>+IF($I254=AU$10,IF($L254=AU$11,#REF!,0),0)</f>
        <v>0</v>
      </c>
      <c r="AV254" s="464">
        <f>+IF($I254=AV$10,IF($L254=AV$11,#REF!,0),0)</f>
        <v>0</v>
      </c>
      <c r="AW254" s="464">
        <f>+IF($I254=AW$10,IF($L254=AW$11,#REF!,0),0)</f>
        <v>0</v>
      </c>
      <c r="AX254" s="465">
        <f>+IF($I254=AX$10,IF($L254=AX$11,#REF!,0),0)</f>
        <v>0</v>
      </c>
      <c r="AY254" s="463">
        <f>+IF($I254=AY$10,IF($L254=AY$11,#REF!,0),0)</f>
        <v>0</v>
      </c>
      <c r="AZ254" s="464">
        <f>+IF($I254=AZ$10,IF($L254=AZ$11,#REF!,0),0)</f>
        <v>0</v>
      </c>
      <c r="BA254" s="464">
        <f>+IF($I254=BA$10,IF($L254=BA$11,#REF!,0),0)</f>
        <v>0</v>
      </c>
      <c r="BB254" s="464">
        <f>+IF($I254=BB$10,IF($L254=BB$11,#REF!,0),0)</f>
        <v>0</v>
      </c>
      <c r="BC254" s="464">
        <f>+IF($I254=BC$10,IF($L254=BC$11,#REF!,0),0)</f>
        <v>0</v>
      </c>
      <c r="BD254" s="465">
        <f>+IF($I254=BD$10,IF($L254=BD$11,#REF!,0),0)</f>
        <v>0</v>
      </c>
      <c r="BE254" s="463">
        <f>+IF($I254=BE$10,IF($L254=BE$11,#REF!,0),0)</f>
        <v>0</v>
      </c>
      <c r="BF254" s="464">
        <f>+IF($I254=BF$10,IF($L254=BF$11,#REF!,0),0)</f>
        <v>0</v>
      </c>
      <c r="BG254" s="464">
        <f>+IF($I254=BG$10,IF($L254=BG$11,#REF!,0),0)</f>
        <v>0</v>
      </c>
      <c r="BH254" s="464">
        <f>+IF($I254=BH$10,IF($L254=BH$11,#REF!,0),0)</f>
        <v>0</v>
      </c>
      <c r="BI254" s="464">
        <f>+IF($I254=BI$10,IF($L254=BI$11,#REF!,0),0)</f>
        <v>0</v>
      </c>
      <c r="BJ254" s="466">
        <f>+IF($I254=BJ$10,IF($L254=BJ$11,#REF!,0),0)</f>
        <v>0</v>
      </c>
    </row>
    <row r="255" spans="5:62" s="467" customFormat="1" ht="16.5" hidden="1" customHeight="1">
      <c r="E255" s="454" t="s">
        <v>1217</v>
      </c>
      <c r="F255" s="455"/>
      <c r="G255" s="456"/>
      <c r="H255" s="457" t="str">
        <f t="shared" si="16"/>
        <v>-</v>
      </c>
      <c r="I255" s="458" t="str">
        <f t="shared" si="47"/>
        <v>POSTE DE TELEFONO</v>
      </c>
      <c r="J255" s="566"/>
      <c r="K255" s="459" t="s">
        <v>1203</v>
      </c>
      <c r="L255" s="460" t="s">
        <v>1191</v>
      </c>
      <c r="M255" s="463">
        <f t="shared" si="33"/>
        <v>0</v>
      </c>
      <c r="N255" s="463">
        <f t="shared" si="33"/>
        <v>0</v>
      </c>
      <c r="O255" s="463">
        <f t="shared" si="33"/>
        <v>0</v>
      </c>
      <c r="P255" s="463">
        <f t="shared" si="33"/>
        <v>0</v>
      </c>
      <c r="Q255" s="463">
        <f t="shared" si="33"/>
        <v>0</v>
      </c>
      <c r="R255" s="463">
        <f t="shared" si="33"/>
        <v>0</v>
      </c>
      <c r="S255" s="463">
        <f t="shared" si="33"/>
        <v>0</v>
      </c>
      <c r="T255" s="463">
        <f t="shared" si="33"/>
        <v>0</v>
      </c>
      <c r="U255" s="463">
        <f t="shared" si="33"/>
        <v>0</v>
      </c>
      <c r="V255" s="463">
        <f t="shared" si="33"/>
        <v>0</v>
      </c>
      <c r="W255" s="463">
        <f t="shared" si="33"/>
        <v>0</v>
      </c>
      <c r="X255" s="463">
        <f t="shared" si="34"/>
        <v>0</v>
      </c>
      <c r="Y255" s="463">
        <f t="shared" si="34"/>
        <v>0</v>
      </c>
      <c r="Z255" s="463">
        <f t="shared" si="34"/>
        <v>0</v>
      </c>
      <c r="AA255" s="463">
        <f t="shared" si="34"/>
        <v>1</v>
      </c>
      <c r="AB255" s="463">
        <f t="shared" si="34"/>
        <v>0</v>
      </c>
      <c r="AC255" s="463">
        <f t="shared" si="34"/>
        <v>0</v>
      </c>
      <c r="AD255" s="463">
        <f t="shared" si="34"/>
        <v>0</v>
      </c>
      <c r="AE255" s="463">
        <f t="shared" si="34"/>
        <v>0</v>
      </c>
      <c r="AF255" s="621">
        <f t="shared" si="34"/>
        <v>0</v>
      </c>
      <c r="AG255" s="573"/>
      <c r="AH255" s="464"/>
      <c r="AI255" s="464"/>
      <c r="AJ255" s="464"/>
      <c r="AK255" s="464"/>
      <c r="AL255" s="465">
        <f>+IF($I255=AL$10,IF($L255=AL$11,#REF!,0),0)</f>
        <v>0</v>
      </c>
      <c r="AM255" s="463">
        <f>+IF($I255=AM$10,IF($L255=AM$11,#REF!,0),0)</f>
        <v>0</v>
      </c>
      <c r="AN255" s="464">
        <f>+IF($I255=AN$10,IF($L255=AN$11,#REF!,0),0)</f>
        <v>0</v>
      </c>
      <c r="AO255" s="464">
        <f>+IF($I255=AO$10,IF($L255=AO$11,#REF!,0),0)</f>
        <v>0</v>
      </c>
      <c r="AP255" s="464">
        <v>1</v>
      </c>
      <c r="AQ255" s="464">
        <f>+IF($I255=AQ$10,IF($L255=AQ$11,#REF!,0),0)</f>
        <v>0</v>
      </c>
      <c r="AR255" s="465">
        <f>+IF($I255=AR$10,IF($L255=AR$11,#REF!,0),0)</f>
        <v>0</v>
      </c>
      <c r="AS255" s="463">
        <f>+IF($I255=AS$10,IF($L255=AS$11,#REF!,0),0)</f>
        <v>0</v>
      </c>
      <c r="AT255" s="464">
        <f>+IF($I255=AT$10,IF($L255=AT$11,#REF!,0),0)</f>
        <v>0</v>
      </c>
      <c r="AU255" s="464">
        <f>+IF($I255=AU$10,IF($L255=AU$11,#REF!,0),0)</f>
        <v>0</v>
      </c>
      <c r="AV255" s="464">
        <f>+IF($I255=AV$10,IF($L255=AV$11,#REF!,0),0)</f>
        <v>0</v>
      </c>
      <c r="AW255" s="464">
        <f>+IF($I255=AW$10,IF($L255=AW$11,#REF!,0),0)</f>
        <v>0</v>
      </c>
      <c r="AX255" s="465">
        <f>+IF($I255=AX$10,IF($L255=AX$11,#REF!,0),0)</f>
        <v>0</v>
      </c>
      <c r="AY255" s="463">
        <f>+IF($I255=AY$10,IF($L255=AY$11,#REF!,0),0)</f>
        <v>0</v>
      </c>
      <c r="AZ255" s="464">
        <f>+IF($I255=AZ$10,IF($L255=AZ$11,#REF!,0),0)</f>
        <v>0</v>
      </c>
      <c r="BA255" s="464">
        <f>+IF($I255=BA$10,IF($L255=BA$11,#REF!,0),0)</f>
        <v>0</v>
      </c>
      <c r="BB255" s="464">
        <f>+IF($I255=BB$10,IF($L255=BB$11,#REF!,0),0)</f>
        <v>0</v>
      </c>
      <c r="BC255" s="464">
        <f>+IF($I255=BC$10,IF($L255=BC$11,#REF!,0),0)</f>
        <v>0</v>
      </c>
      <c r="BD255" s="465">
        <f>+IF($I255=BD$10,IF($L255=BD$11,#REF!,0),0)</f>
        <v>0</v>
      </c>
      <c r="BE255" s="463">
        <f>+IF($I255=BE$10,IF($L255=BE$11,#REF!,0),0)</f>
        <v>0</v>
      </c>
      <c r="BF255" s="464">
        <f>+IF($I255=BF$10,IF($L255=BF$11,#REF!,0),0)</f>
        <v>0</v>
      </c>
      <c r="BG255" s="464">
        <f>+IF($I255=BG$10,IF($L255=BG$11,#REF!,0),0)</f>
        <v>0</v>
      </c>
      <c r="BH255" s="464">
        <f>+IF($I255=BH$10,IF($L255=BH$11,#REF!,0),0)</f>
        <v>0</v>
      </c>
      <c r="BI255" s="464">
        <f>+IF($I255=BI$10,IF($L255=BI$11,#REF!,0),0)</f>
        <v>0</v>
      </c>
      <c r="BJ255" s="466">
        <f>+IF($I255=BJ$10,IF($L255=BJ$11,#REF!,0),0)</f>
        <v>0</v>
      </c>
    </row>
    <row r="256" spans="5:62" s="467" customFormat="1" ht="16.5" hidden="1" customHeight="1">
      <c r="E256" s="454" t="s">
        <v>1217</v>
      </c>
      <c r="F256" s="455"/>
      <c r="G256" s="456"/>
      <c r="H256" s="457" t="str">
        <f t="shared" si="16"/>
        <v>-</v>
      </c>
      <c r="I256" s="458" t="str">
        <f t="shared" si="47"/>
        <v>POSTE DE TELEFONO</v>
      </c>
      <c r="J256" s="566"/>
      <c r="K256" s="459" t="s">
        <v>1203</v>
      </c>
      <c r="L256" s="460" t="s">
        <v>1191</v>
      </c>
      <c r="M256" s="463">
        <f t="shared" ref="M256:AF257" si="54">+IF($L256=M$10,IF($K256=M$11,1,0),0)</f>
        <v>0</v>
      </c>
      <c r="N256" s="463">
        <f t="shared" si="54"/>
        <v>0</v>
      </c>
      <c r="O256" s="463">
        <f t="shared" si="54"/>
        <v>0</v>
      </c>
      <c r="P256" s="463">
        <f t="shared" si="54"/>
        <v>0</v>
      </c>
      <c r="Q256" s="463">
        <f t="shared" si="54"/>
        <v>0</v>
      </c>
      <c r="R256" s="463">
        <f t="shared" si="54"/>
        <v>0</v>
      </c>
      <c r="S256" s="463">
        <f t="shared" si="54"/>
        <v>0</v>
      </c>
      <c r="T256" s="463">
        <f t="shared" si="54"/>
        <v>0</v>
      </c>
      <c r="U256" s="463">
        <f t="shared" si="54"/>
        <v>0</v>
      </c>
      <c r="V256" s="463">
        <f t="shared" si="54"/>
        <v>0</v>
      </c>
      <c r="W256" s="463">
        <f t="shared" si="54"/>
        <v>0</v>
      </c>
      <c r="X256" s="463">
        <f t="shared" si="54"/>
        <v>0</v>
      </c>
      <c r="Y256" s="463">
        <f t="shared" si="54"/>
        <v>0</v>
      </c>
      <c r="Z256" s="463">
        <f t="shared" si="54"/>
        <v>0</v>
      </c>
      <c r="AA256" s="463">
        <f t="shared" si="54"/>
        <v>1</v>
      </c>
      <c r="AB256" s="463">
        <f t="shared" si="54"/>
        <v>0</v>
      </c>
      <c r="AC256" s="463">
        <f t="shared" si="54"/>
        <v>0</v>
      </c>
      <c r="AD256" s="463">
        <f t="shared" si="54"/>
        <v>0</v>
      </c>
      <c r="AE256" s="463">
        <f t="shared" si="54"/>
        <v>0</v>
      </c>
      <c r="AF256" s="621">
        <f t="shared" si="54"/>
        <v>0</v>
      </c>
      <c r="AG256" s="573"/>
      <c r="AH256" s="464"/>
      <c r="AI256" s="464"/>
      <c r="AJ256" s="464"/>
      <c r="AK256" s="464"/>
      <c r="AL256" s="465">
        <f>+IF($I256=AL$10,IF($L256=AL$11,#REF!,0),0)</f>
        <v>0</v>
      </c>
      <c r="AM256" s="463">
        <f>+IF($I256=AM$10,IF($L256=AM$11,#REF!,0),0)</f>
        <v>0</v>
      </c>
      <c r="AN256" s="464">
        <f>+IF($I256=AN$10,IF($L256=AN$11,#REF!,0),0)</f>
        <v>0</v>
      </c>
      <c r="AO256" s="464">
        <f>+IF($I256=AO$10,IF($L256=AO$11,#REF!,0),0)</f>
        <v>0</v>
      </c>
      <c r="AP256" s="464">
        <v>1</v>
      </c>
      <c r="AQ256" s="464">
        <f>+IF($I256=AQ$10,IF($L256=AQ$11,#REF!,0),0)</f>
        <v>0</v>
      </c>
      <c r="AR256" s="465">
        <f>+IF($I256=AR$10,IF($L256=AR$11,#REF!,0),0)</f>
        <v>0</v>
      </c>
      <c r="AS256" s="463">
        <f>+IF($I256=AS$10,IF($L256=AS$11,#REF!,0),0)</f>
        <v>0</v>
      </c>
      <c r="AT256" s="464">
        <f>+IF($I256=AT$10,IF($L256=AT$11,#REF!,0),0)</f>
        <v>0</v>
      </c>
      <c r="AU256" s="464">
        <f>+IF($I256=AU$10,IF($L256=AU$11,#REF!,0),0)</f>
        <v>0</v>
      </c>
      <c r="AV256" s="464">
        <f>+IF($I256=AV$10,IF($L256=AV$11,#REF!,0),0)</f>
        <v>0</v>
      </c>
      <c r="AW256" s="464">
        <f>+IF($I256=AW$10,IF($L256=AW$11,#REF!,0),0)</f>
        <v>0</v>
      </c>
      <c r="AX256" s="465">
        <f>+IF($I256=AX$10,IF($L256=AX$11,#REF!,0),0)</f>
        <v>0</v>
      </c>
      <c r="AY256" s="463">
        <f>+IF($I256=AY$10,IF($L256=AY$11,#REF!,0),0)</f>
        <v>0</v>
      </c>
      <c r="AZ256" s="464">
        <f>+IF($I256=AZ$10,IF($L256=AZ$11,#REF!,0),0)</f>
        <v>0</v>
      </c>
      <c r="BA256" s="464">
        <f>+IF($I256=BA$10,IF($L256=BA$11,#REF!,0),0)</f>
        <v>0</v>
      </c>
      <c r="BB256" s="464">
        <f>+IF($I256=BB$10,IF($L256=BB$11,#REF!,0),0)</f>
        <v>0</v>
      </c>
      <c r="BC256" s="464">
        <f>+IF($I256=BC$10,IF($L256=BC$11,#REF!,0),0)</f>
        <v>0</v>
      </c>
      <c r="BD256" s="465">
        <f>+IF($I256=BD$10,IF($L256=BD$11,#REF!,0),0)</f>
        <v>0</v>
      </c>
      <c r="BE256" s="463">
        <f>+IF($I256=BE$10,IF($L256=BE$11,#REF!,0),0)</f>
        <v>0</v>
      </c>
      <c r="BF256" s="464">
        <f>+IF($I256=BF$10,IF($L256=BF$11,#REF!,0),0)</f>
        <v>0</v>
      </c>
      <c r="BG256" s="464">
        <f>+IF($I256=BG$10,IF($L256=BG$11,#REF!,0),0)</f>
        <v>0</v>
      </c>
      <c r="BH256" s="464">
        <f>+IF($I256=BH$10,IF($L256=BH$11,#REF!,0),0)</f>
        <v>0</v>
      </c>
      <c r="BI256" s="464">
        <f>+IF($I256=BI$10,IF($L256=BI$11,#REF!,0),0)</f>
        <v>0</v>
      </c>
      <c r="BJ256" s="466">
        <f>+IF($I256=BJ$10,IF($L256=BJ$11,#REF!,0),0)</f>
        <v>0</v>
      </c>
    </row>
    <row r="257" spans="5:62" s="467" customFormat="1" ht="16.5" hidden="1" customHeight="1">
      <c r="E257" s="454" t="s">
        <v>1217</v>
      </c>
      <c r="F257" s="455"/>
      <c r="G257" s="456"/>
      <c r="H257" s="457" t="str">
        <f t="shared" ref="H257" si="55">+CONCATENATE(F257,"-",G257)</f>
        <v>-</v>
      </c>
      <c r="I257" s="458" t="str">
        <f t="shared" ref="I257" si="56">+IF(K257="PT","POSTE DE TELEFONO",IF(K257="PL","POSTE DE ALUMBRADO",IF(K257="PMT","POSTE DE MEDIA TENSIÓN",0)))</f>
        <v>POSTE DE TELEFONO</v>
      </c>
      <c r="J257" s="566"/>
      <c r="K257" s="459" t="s">
        <v>1203</v>
      </c>
      <c r="L257" s="460" t="s">
        <v>1191</v>
      </c>
      <c r="M257" s="463">
        <f t="shared" si="54"/>
        <v>0</v>
      </c>
      <c r="N257" s="463">
        <f t="shared" si="54"/>
        <v>0</v>
      </c>
      <c r="O257" s="463">
        <f t="shared" si="54"/>
        <v>0</v>
      </c>
      <c r="P257" s="463">
        <f t="shared" si="54"/>
        <v>0</v>
      </c>
      <c r="Q257" s="463">
        <f t="shared" si="54"/>
        <v>0</v>
      </c>
      <c r="R257" s="463">
        <f t="shared" si="54"/>
        <v>0</v>
      </c>
      <c r="S257" s="463">
        <f t="shared" si="54"/>
        <v>0</v>
      </c>
      <c r="T257" s="463">
        <f t="shared" si="54"/>
        <v>0</v>
      </c>
      <c r="U257" s="463">
        <f t="shared" si="54"/>
        <v>0</v>
      </c>
      <c r="V257" s="463">
        <f t="shared" si="54"/>
        <v>0</v>
      </c>
      <c r="W257" s="463">
        <f t="shared" si="54"/>
        <v>0</v>
      </c>
      <c r="X257" s="463">
        <f t="shared" si="54"/>
        <v>0</v>
      </c>
      <c r="Y257" s="463">
        <f t="shared" si="54"/>
        <v>0</v>
      </c>
      <c r="Z257" s="463">
        <f t="shared" si="54"/>
        <v>0</v>
      </c>
      <c r="AA257" s="463">
        <f t="shared" si="54"/>
        <v>1</v>
      </c>
      <c r="AB257" s="463">
        <f t="shared" si="54"/>
        <v>0</v>
      </c>
      <c r="AC257" s="463">
        <f t="shared" si="54"/>
        <v>0</v>
      </c>
      <c r="AD257" s="463">
        <f t="shared" si="54"/>
        <v>0</v>
      </c>
      <c r="AE257" s="463">
        <f t="shared" si="54"/>
        <v>0</v>
      </c>
      <c r="AF257" s="621">
        <f t="shared" si="54"/>
        <v>0</v>
      </c>
      <c r="AG257" s="573"/>
      <c r="AH257" s="464"/>
      <c r="AI257" s="464"/>
      <c r="AJ257" s="464"/>
      <c r="AK257" s="464"/>
      <c r="AL257" s="465">
        <f>+IF($I257=AL$10,IF($L257=AL$11,#REF!,0),0)</f>
        <v>0</v>
      </c>
      <c r="AM257" s="463">
        <f>+IF($I257=AM$10,IF($L257=AM$11,#REF!,0),0)</f>
        <v>0</v>
      </c>
      <c r="AN257" s="464">
        <f>+IF($I257=AN$10,IF($L257=AN$11,#REF!,0),0)</f>
        <v>0</v>
      </c>
      <c r="AO257" s="464">
        <f>+IF($I257=AO$10,IF($L257=AO$11,#REF!,0),0)</f>
        <v>0</v>
      </c>
      <c r="AP257" s="464">
        <v>1</v>
      </c>
      <c r="AQ257" s="464">
        <f>+IF($I257=AQ$10,IF($L257=AQ$11,#REF!,0),0)</f>
        <v>0</v>
      </c>
      <c r="AR257" s="465">
        <f>+IF($I257=AR$10,IF($L257=AR$11,#REF!,0),0)</f>
        <v>0</v>
      </c>
      <c r="AS257" s="463">
        <f>+IF($I257=AS$10,IF($L257=AS$11,#REF!,0),0)</f>
        <v>0</v>
      </c>
      <c r="AT257" s="464">
        <f>+IF($I257=AT$10,IF($L257=AT$11,#REF!,0),0)</f>
        <v>0</v>
      </c>
      <c r="AU257" s="464">
        <f>+IF($I257=AU$10,IF($L257=AU$11,#REF!,0),0)</f>
        <v>0</v>
      </c>
      <c r="AV257" s="464">
        <f>+IF($I257=AV$10,IF($L257=AV$11,#REF!,0),0)</f>
        <v>0</v>
      </c>
      <c r="AW257" s="464">
        <f>+IF($I257=AW$10,IF($L257=AW$11,#REF!,0),0)</f>
        <v>0</v>
      </c>
      <c r="AX257" s="465">
        <f>+IF($I257=AX$10,IF($L257=AX$11,#REF!,0),0)</f>
        <v>0</v>
      </c>
      <c r="AY257" s="463">
        <f>+IF($I257=AY$10,IF($L257=AY$11,#REF!,0),0)</f>
        <v>0</v>
      </c>
      <c r="AZ257" s="464">
        <f>+IF($I257=AZ$10,IF($L257=AZ$11,#REF!,0),0)</f>
        <v>0</v>
      </c>
      <c r="BA257" s="464">
        <f>+IF($I257=BA$10,IF($L257=BA$11,#REF!,0),0)</f>
        <v>0</v>
      </c>
      <c r="BB257" s="464">
        <f>+IF($I257=BB$10,IF($L257=BB$11,#REF!,0),0)</f>
        <v>0</v>
      </c>
      <c r="BC257" s="464">
        <f>+IF($I257=BC$10,IF($L257=BC$11,#REF!,0),0)</f>
        <v>0</v>
      </c>
      <c r="BD257" s="465">
        <f>+IF($I257=BD$10,IF($L257=BD$11,#REF!,0),0)</f>
        <v>0</v>
      </c>
      <c r="BE257" s="463">
        <f>+IF($I257=BE$10,IF($L257=BE$11,#REF!,0),0)</f>
        <v>0</v>
      </c>
      <c r="BF257" s="464">
        <f>+IF($I257=BF$10,IF($L257=BF$11,#REF!,0),0)</f>
        <v>0</v>
      </c>
      <c r="BG257" s="464">
        <f>+IF($I257=BG$10,IF($L257=BG$11,#REF!,0),0)</f>
        <v>0</v>
      </c>
      <c r="BH257" s="464">
        <f>+IF($I257=BH$10,IF($L257=BH$11,#REF!,0),0)</f>
        <v>0</v>
      </c>
      <c r="BI257" s="464">
        <f>+IF($I257=BI$10,IF($L257=BI$11,#REF!,0),0)</f>
        <v>0</v>
      </c>
      <c r="BJ257" s="466">
        <f>+IF($I257=BJ$10,IF($L257=BJ$11,#REF!,0),0)</f>
        <v>0</v>
      </c>
    </row>
    <row r="258" spans="5:62" s="467" customFormat="1" ht="16.5" hidden="1" customHeight="1">
      <c r="E258" s="454" t="s">
        <v>1217</v>
      </c>
      <c r="F258" s="455"/>
      <c r="G258" s="456"/>
      <c r="H258" s="457" t="str">
        <f t="shared" si="16"/>
        <v>-</v>
      </c>
      <c r="I258" s="458" t="str">
        <f t="shared" si="47"/>
        <v>POSTE DE TELEFONO</v>
      </c>
      <c r="J258" s="566"/>
      <c r="K258" s="459" t="s">
        <v>1203</v>
      </c>
      <c r="L258" s="460" t="s">
        <v>1191</v>
      </c>
      <c r="M258" s="463">
        <f t="shared" si="33"/>
        <v>0</v>
      </c>
      <c r="N258" s="463">
        <f t="shared" si="33"/>
        <v>0</v>
      </c>
      <c r="O258" s="463">
        <f t="shared" si="33"/>
        <v>0</v>
      </c>
      <c r="P258" s="463">
        <f t="shared" si="33"/>
        <v>0</v>
      </c>
      <c r="Q258" s="463">
        <f t="shared" si="33"/>
        <v>0</v>
      </c>
      <c r="R258" s="463">
        <f t="shared" si="33"/>
        <v>0</v>
      </c>
      <c r="S258" s="463">
        <f t="shared" si="33"/>
        <v>0</v>
      </c>
      <c r="T258" s="463">
        <f t="shared" si="33"/>
        <v>0</v>
      </c>
      <c r="U258" s="463">
        <f t="shared" si="33"/>
        <v>0</v>
      </c>
      <c r="V258" s="463">
        <f t="shared" si="33"/>
        <v>0</v>
      </c>
      <c r="W258" s="463">
        <f t="shared" si="33"/>
        <v>0</v>
      </c>
      <c r="X258" s="463">
        <f t="shared" si="34"/>
        <v>0</v>
      </c>
      <c r="Y258" s="463">
        <f t="shared" si="34"/>
        <v>0</v>
      </c>
      <c r="Z258" s="463">
        <f t="shared" si="34"/>
        <v>0</v>
      </c>
      <c r="AA258" s="463">
        <f t="shared" si="34"/>
        <v>1</v>
      </c>
      <c r="AB258" s="463">
        <f t="shared" si="34"/>
        <v>0</v>
      </c>
      <c r="AC258" s="463">
        <f t="shared" si="34"/>
        <v>0</v>
      </c>
      <c r="AD258" s="463">
        <f t="shared" si="34"/>
        <v>0</v>
      </c>
      <c r="AE258" s="463">
        <f t="shared" si="34"/>
        <v>0</v>
      </c>
      <c r="AF258" s="621">
        <f t="shared" si="34"/>
        <v>0</v>
      </c>
      <c r="AG258" s="573"/>
      <c r="AH258" s="464"/>
      <c r="AI258" s="464"/>
      <c r="AJ258" s="464"/>
      <c r="AK258" s="464"/>
      <c r="AL258" s="465">
        <f>+IF($I258=AL$10,IF($L258=AL$11,#REF!,0),0)</f>
        <v>0</v>
      </c>
      <c r="AM258" s="463">
        <f>+IF($I258=AM$10,IF($L258=AM$11,#REF!,0),0)</f>
        <v>0</v>
      </c>
      <c r="AN258" s="464">
        <f>+IF($I258=AN$10,IF($L258=AN$11,#REF!,0),0)</f>
        <v>0</v>
      </c>
      <c r="AO258" s="464">
        <f>+IF($I258=AO$10,IF($L258=AO$11,#REF!,0),0)</f>
        <v>0</v>
      </c>
      <c r="AP258" s="464">
        <f>+IF($I258=AP$10,IF($L258=AP$11,#REF!,0),0)</f>
        <v>0</v>
      </c>
      <c r="AQ258" s="464">
        <f>+IF($I258=AQ$10,IF($L258=AQ$11,#REF!,0),0)</f>
        <v>0</v>
      </c>
      <c r="AR258" s="465">
        <f>+IF($I258=AR$10,IF($L258=AR$11,#REF!,0),0)</f>
        <v>0</v>
      </c>
      <c r="AS258" s="463">
        <f>+IF($I258=AS$10,IF($L258=AS$11,#REF!,0),0)</f>
        <v>0</v>
      </c>
      <c r="AT258" s="464">
        <f>+IF($I258=AT$10,IF($L258=AT$11,#REF!,0),0)</f>
        <v>0</v>
      </c>
      <c r="AU258" s="464">
        <f>+IF($I258=AU$10,IF($L258=AU$11,#REF!,0),0)</f>
        <v>0</v>
      </c>
      <c r="AV258" s="464">
        <v>1</v>
      </c>
      <c r="AW258" s="464">
        <f>+IF($I258=AW$10,IF($L258=AW$11,#REF!,0),0)</f>
        <v>0</v>
      </c>
      <c r="AX258" s="465">
        <f>+IF($I258=AX$10,IF($L258=AX$11,#REF!,0),0)</f>
        <v>0</v>
      </c>
      <c r="AY258" s="463">
        <f>+IF($I258=AY$10,IF($L258=AY$11,#REF!,0),0)</f>
        <v>0</v>
      </c>
      <c r="AZ258" s="464">
        <f>+IF($I258=AZ$10,IF($L258=AZ$11,#REF!,0),0)</f>
        <v>0</v>
      </c>
      <c r="BA258" s="464">
        <f>+IF($I258=BA$10,IF($L258=BA$11,#REF!,0),0)</f>
        <v>0</v>
      </c>
      <c r="BB258" s="464">
        <f>+IF($I258=BB$10,IF($L258=BB$11,#REF!,0),0)</f>
        <v>0</v>
      </c>
      <c r="BC258" s="464">
        <f>+IF($I258=BC$10,IF($L258=BC$11,#REF!,0),0)</f>
        <v>0</v>
      </c>
      <c r="BD258" s="465">
        <f>+IF($I258=BD$10,IF($L258=BD$11,#REF!,0),0)</f>
        <v>0</v>
      </c>
      <c r="BE258" s="463">
        <f>+IF($I258=BE$10,IF($L258=BE$11,#REF!,0),0)</f>
        <v>0</v>
      </c>
      <c r="BF258" s="464">
        <f>+IF($I258=BF$10,IF($L258=BF$11,#REF!,0),0)</f>
        <v>0</v>
      </c>
      <c r="BG258" s="464">
        <f>+IF($I258=BG$10,IF($L258=BG$11,#REF!,0),0)</f>
        <v>0</v>
      </c>
      <c r="BH258" s="464">
        <f>+IF($I258=BH$10,IF($L258=BH$11,#REF!,0),0)</f>
        <v>0</v>
      </c>
      <c r="BI258" s="464">
        <f>+IF($I258=BI$10,IF($L258=BI$11,#REF!,0),0)</f>
        <v>0</v>
      </c>
      <c r="BJ258" s="466">
        <f>+IF($I258=BJ$10,IF($L258=BJ$11,#REF!,0),0)</f>
        <v>0</v>
      </c>
    </row>
    <row r="259" spans="5:62" s="467" customFormat="1" ht="16.5" hidden="1" customHeight="1">
      <c r="E259" s="454" t="s">
        <v>1217</v>
      </c>
      <c r="F259" s="455"/>
      <c r="G259" s="456"/>
      <c r="H259" s="457" t="str">
        <f t="shared" si="16"/>
        <v>-</v>
      </c>
      <c r="I259" s="458" t="str">
        <f t="shared" si="47"/>
        <v>POSTE DE TELEFONO</v>
      </c>
      <c r="J259" s="566"/>
      <c r="K259" s="459" t="s">
        <v>1203</v>
      </c>
      <c r="L259" s="460" t="s">
        <v>1191</v>
      </c>
      <c r="M259" s="463">
        <f t="shared" si="33"/>
        <v>0</v>
      </c>
      <c r="N259" s="463">
        <f t="shared" si="33"/>
        <v>0</v>
      </c>
      <c r="O259" s="463">
        <f t="shared" si="33"/>
        <v>0</v>
      </c>
      <c r="P259" s="463">
        <f t="shared" si="33"/>
        <v>0</v>
      </c>
      <c r="Q259" s="463">
        <f t="shared" si="33"/>
        <v>0</v>
      </c>
      <c r="R259" s="463">
        <f t="shared" si="33"/>
        <v>0</v>
      </c>
      <c r="S259" s="463">
        <f t="shared" si="33"/>
        <v>0</v>
      </c>
      <c r="T259" s="463">
        <f t="shared" si="33"/>
        <v>0</v>
      </c>
      <c r="U259" s="463">
        <f t="shared" si="33"/>
        <v>0</v>
      </c>
      <c r="V259" s="463">
        <f t="shared" si="33"/>
        <v>0</v>
      </c>
      <c r="W259" s="463">
        <f t="shared" si="33"/>
        <v>0</v>
      </c>
      <c r="X259" s="463">
        <f t="shared" si="34"/>
        <v>0</v>
      </c>
      <c r="Y259" s="463">
        <f t="shared" si="34"/>
        <v>0</v>
      </c>
      <c r="Z259" s="463">
        <f t="shared" si="34"/>
        <v>0</v>
      </c>
      <c r="AA259" s="463">
        <f t="shared" si="34"/>
        <v>1</v>
      </c>
      <c r="AB259" s="463">
        <f t="shared" si="34"/>
        <v>0</v>
      </c>
      <c r="AC259" s="463">
        <f t="shared" si="34"/>
        <v>0</v>
      </c>
      <c r="AD259" s="463">
        <f t="shared" si="34"/>
        <v>0</v>
      </c>
      <c r="AE259" s="463">
        <f t="shared" si="34"/>
        <v>0</v>
      </c>
      <c r="AF259" s="621">
        <f t="shared" si="34"/>
        <v>0</v>
      </c>
      <c r="AG259" s="573"/>
      <c r="AH259" s="464"/>
      <c r="AI259" s="464"/>
      <c r="AJ259" s="464"/>
      <c r="AK259" s="464"/>
      <c r="AL259" s="465">
        <f>+IF($I259=AL$10,IF($L259=AL$11,#REF!,0),0)</f>
        <v>0</v>
      </c>
      <c r="AM259" s="463">
        <f>+IF($I259=AM$10,IF($L259=AM$11,#REF!,0),0)</f>
        <v>0</v>
      </c>
      <c r="AN259" s="464">
        <f>+IF($I259=AN$10,IF($L259=AN$11,#REF!,0),0)</f>
        <v>0</v>
      </c>
      <c r="AO259" s="464">
        <f>+IF($I259=AO$10,IF($L259=AO$11,#REF!,0),0)</f>
        <v>0</v>
      </c>
      <c r="AP259" s="464">
        <f>+IF($I259=AP$10,IF($L259=AP$11,#REF!,0),0)</f>
        <v>0</v>
      </c>
      <c r="AQ259" s="464">
        <f>+IF($I259=AQ$10,IF($L259=AQ$11,#REF!,0),0)</f>
        <v>0</v>
      </c>
      <c r="AR259" s="465">
        <f>+IF($I259=AR$10,IF($L259=AR$11,#REF!,0),0)</f>
        <v>0</v>
      </c>
      <c r="AS259" s="463">
        <f>+IF($I259=AS$10,IF($L259=AS$11,#REF!,0),0)</f>
        <v>0</v>
      </c>
      <c r="AT259" s="464">
        <f>+IF($I259=AT$10,IF($L259=AT$11,#REF!,0),0)</f>
        <v>0</v>
      </c>
      <c r="AU259" s="464">
        <f>+IF($I259=AU$10,IF($L259=AU$11,#REF!,0),0)</f>
        <v>0</v>
      </c>
      <c r="AV259" s="464">
        <f>+IF($I259=AV$10,IF($L259=AV$11,#REF!,0),0)</f>
        <v>0</v>
      </c>
      <c r="AW259" s="464">
        <f>+IF($I259=AW$10,IF($L259=AW$11,#REF!,0),0)</f>
        <v>0</v>
      </c>
      <c r="AX259" s="465">
        <f>+IF($I259=AX$10,IF($L259=AX$11,#REF!,0),0)</f>
        <v>0</v>
      </c>
      <c r="AY259" s="463">
        <v>1</v>
      </c>
      <c r="AZ259" s="464">
        <f>+IF($I259=AZ$10,IF($L259=AZ$11,#REF!,0),0)</f>
        <v>0</v>
      </c>
      <c r="BA259" s="464">
        <f>+IF($I259=BA$10,IF($L259=BA$11,#REF!,0),0)</f>
        <v>0</v>
      </c>
      <c r="BB259" s="464">
        <f>+IF($I259=BB$10,IF($L259=BB$11,#REF!,0),0)</f>
        <v>0</v>
      </c>
      <c r="BC259" s="464">
        <f>+IF($I259=BC$10,IF($L259=BC$11,#REF!,0),0)</f>
        <v>0</v>
      </c>
      <c r="BD259" s="465">
        <f>+IF($I259=BD$10,IF($L259=BD$11,#REF!,0),0)</f>
        <v>0</v>
      </c>
      <c r="BE259" s="463">
        <f>+IF($I259=BE$10,IF($L259=BE$11,#REF!,0),0)</f>
        <v>0</v>
      </c>
      <c r="BF259" s="464">
        <f>+IF($I259=BF$10,IF($L259=BF$11,#REF!,0),0)</f>
        <v>0</v>
      </c>
      <c r="BG259" s="464">
        <f>+IF($I259=BG$10,IF($L259=BG$11,#REF!,0),0)</f>
        <v>0</v>
      </c>
      <c r="BH259" s="464">
        <f>+IF($I259=BH$10,IF($L259=BH$11,#REF!,0),0)</f>
        <v>0</v>
      </c>
      <c r="BI259" s="464">
        <f>+IF($I259=BI$10,IF($L259=BI$11,#REF!,0),0)</f>
        <v>0</v>
      </c>
      <c r="BJ259" s="466">
        <f>+IF($I259=BJ$10,IF($L259=BJ$11,#REF!,0),0)</f>
        <v>0</v>
      </c>
    </row>
    <row r="260" spans="5:62" s="467" customFormat="1" ht="16.5" hidden="1" customHeight="1">
      <c r="E260" s="454" t="s">
        <v>1217</v>
      </c>
      <c r="F260" s="455"/>
      <c r="G260" s="456"/>
      <c r="H260" s="457" t="str">
        <f t="shared" si="16"/>
        <v>-</v>
      </c>
      <c r="I260" s="458" t="str">
        <f t="shared" si="47"/>
        <v>POSTE DE TELEFONO</v>
      </c>
      <c r="J260" s="566"/>
      <c r="K260" s="459" t="s">
        <v>1203</v>
      </c>
      <c r="L260" s="460" t="s">
        <v>1191</v>
      </c>
      <c r="M260" s="463">
        <f t="shared" ref="M260:AB263" si="57">+IF($L260=M$10,IF($K260=M$11,1,0),0)</f>
        <v>0</v>
      </c>
      <c r="N260" s="463">
        <f t="shared" si="57"/>
        <v>0</v>
      </c>
      <c r="O260" s="463">
        <f t="shared" si="57"/>
        <v>0</v>
      </c>
      <c r="P260" s="463">
        <f t="shared" si="57"/>
        <v>0</v>
      </c>
      <c r="Q260" s="463">
        <f t="shared" si="57"/>
        <v>0</v>
      </c>
      <c r="R260" s="463">
        <f t="shared" si="57"/>
        <v>0</v>
      </c>
      <c r="S260" s="463">
        <f t="shared" si="57"/>
        <v>0</v>
      </c>
      <c r="T260" s="463">
        <f t="shared" si="57"/>
        <v>0</v>
      </c>
      <c r="U260" s="463">
        <f t="shared" si="57"/>
        <v>0</v>
      </c>
      <c r="V260" s="463">
        <f t="shared" si="57"/>
        <v>0</v>
      </c>
      <c r="W260" s="463">
        <f t="shared" si="57"/>
        <v>0</v>
      </c>
      <c r="X260" s="463">
        <f t="shared" si="57"/>
        <v>0</v>
      </c>
      <c r="Y260" s="463">
        <f t="shared" si="57"/>
        <v>0</v>
      </c>
      <c r="Z260" s="463">
        <f t="shared" si="57"/>
        <v>0</v>
      </c>
      <c r="AA260" s="463">
        <f t="shared" si="57"/>
        <v>1</v>
      </c>
      <c r="AB260" s="463">
        <f t="shared" si="57"/>
        <v>0</v>
      </c>
      <c r="AC260" s="463">
        <f t="shared" ref="AC260:AF263" si="58">+IF($L260=AC$10,IF($K260=AC$11,1,0),0)</f>
        <v>0</v>
      </c>
      <c r="AD260" s="463">
        <f t="shared" si="58"/>
        <v>0</v>
      </c>
      <c r="AE260" s="463">
        <f t="shared" si="58"/>
        <v>0</v>
      </c>
      <c r="AF260" s="621">
        <f t="shared" si="58"/>
        <v>0</v>
      </c>
      <c r="AG260" s="573"/>
      <c r="AH260" s="464"/>
      <c r="AI260" s="464"/>
      <c r="AJ260" s="464"/>
      <c r="AK260" s="464"/>
      <c r="AL260" s="465">
        <f>+IF($I260=AL$10,IF($L260=AL$11,#REF!,0),0)</f>
        <v>0</v>
      </c>
      <c r="AM260" s="463">
        <f>+IF($I260=AM$10,IF($L260=AM$11,#REF!,0),0)</f>
        <v>0</v>
      </c>
      <c r="AN260" s="464">
        <f>+IF($I260=AN$10,IF($L260=AN$11,#REF!,0),0)</f>
        <v>0</v>
      </c>
      <c r="AO260" s="464">
        <f>+IF($I260=AO$10,IF($L260=AO$11,#REF!,0),0)</f>
        <v>0</v>
      </c>
      <c r="AP260" s="464">
        <f>+IF($I260=AP$10,IF($L260=AP$11,#REF!,0),0)</f>
        <v>0</v>
      </c>
      <c r="AQ260" s="464">
        <f>+IF($I260=AQ$10,IF($L260=AQ$11,#REF!,0),0)</f>
        <v>0</v>
      </c>
      <c r="AR260" s="465">
        <f>+IF($I260=AR$10,IF($L260=AR$11,#REF!,0),0)</f>
        <v>0</v>
      </c>
      <c r="AS260" s="463">
        <f>+IF($I260=AS$10,IF($L260=AS$11,#REF!,0),0)</f>
        <v>0</v>
      </c>
      <c r="AT260" s="464">
        <f>+IF($I260=AT$10,IF($L260=AT$11,#REF!,0),0)</f>
        <v>0</v>
      </c>
      <c r="AU260" s="464">
        <f>+IF($I260=AU$10,IF($L260=AU$11,#REF!,0),0)</f>
        <v>0</v>
      </c>
      <c r="AV260" s="464">
        <f>+IF($I260=AV$10,IF($L260=AV$11,#REF!,0),0)</f>
        <v>0</v>
      </c>
      <c r="AW260" s="464">
        <f>+IF($I260=AW$10,IF($L260=AW$11,#REF!,0),0)</f>
        <v>0</v>
      </c>
      <c r="AX260" s="465">
        <f>+IF($I260=AX$10,IF($L260=AX$11,#REF!,0),0)</f>
        <v>0</v>
      </c>
      <c r="AY260" s="463">
        <f>+IF($I260=AY$10,IF($L260=AY$11,#REF!,0),0)</f>
        <v>0</v>
      </c>
      <c r="AZ260" s="464">
        <f>+IF($I260=AZ$10,IF($L260=AZ$11,#REF!,0),0)</f>
        <v>0</v>
      </c>
      <c r="BA260" s="464">
        <v>1</v>
      </c>
      <c r="BB260" s="464">
        <f>+IF($I260=BB$10,IF($L260=BB$11,#REF!,0),0)</f>
        <v>0</v>
      </c>
      <c r="BC260" s="464">
        <f>+IF($I260=BC$10,IF($L260=BC$11,#REF!,0),0)</f>
        <v>0</v>
      </c>
      <c r="BD260" s="465">
        <f>+IF($I260=BD$10,IF($L260=BD$11,#REF!,0),0)</f>
        <v>0</v>
      </c>
      <c r="BE260" s="463">
        <f>+IF($I260=BE$10,IF($L260=BE$11,#REF!,0),0)</f>
        <v>0</v>
      </c>
      <c r="BF260" s="464">
        <f>+IF($I260=BF$10,IF($L260=BF$11,#REF!,0),0)</f>
        <v>0</v>
      </c>
      <c r="BG260" s="464">
        <f>+IF($I260=BG$10,IF($L260=BG$11,#REF!,0),0)</f>
        <v>0</v>
      </c>
      <c r="BH260" s="464">
        <f>+IF($I260=BH$10,IF($L260=BH$11,#REF!,0),0)</f>
        <v>0</v>
      </c>
      <c r="BI260" s="464">
        <f>+IF($I260=BI$10,IF($L260=BI$11,#REF!,0),0)</f>
        <v>0</v>
      </c>
      <c r="BJ260" s="466">
        <f>+IF($I260=BJ$10,IF($L260=BJ$11,#REF!,0),0)</f>
        <v>0</v>
      </c>
    </row>
    <row r="261" spans="5:62" s="467" customFormat="1" ht="16.5" hidden="1" customHeight="1">
      <c r="E261" s="454" t="s">
        <v>1217</v>
      </c>
      <c r="F261" s="455"/>
      <c r="G261" s="456"/>
      <c r="H261" s="457" t="str">
        <f t="shared" si="16"/>
        <v>-</v>
      </c>
      <c r="I261" s="458" t="str">
        <f t="shared" si="47"/>
        <v>POSTE DE TELEFONO</v>
      </c>
      <c r="J261" s="566"/>
      <c r="K261" s="459" t="s">
        <v>1203</v>
      </c>
      <c r="L261" s="460" t="s">
        <v>1191</v>
      </c>
      <c r="M261" s="463">
        <f t="shared" si="57"/>
        <v>0</v>
      </c>
      <c r="N261" s="463">
        <f t="shared" si="57"/>
        <v>0</v>
      </c>
      <c r="O261" s="463">
        <f t="shared" si="57"/>
        <v>0</v>
      </c>
      <c r="P261" s="463">
        <f t="shared" si="57"/>
        <v>0</v>
      </c>
      <c r="Q261" s="463">
        <f t="shared" si="57"/>
        <v>0</v>
      </c>
      <c r="R261" s="463">
        <f t="shared" si="57"/>
        <v>0</v>
      </c>
      <c r="S261" s="463">
        <f t="shared" si="57"/>
        <v>0</v>
      </c>
      <c r="T261" s="463">
        <f t="shared" si="57"/>
        <v>0</v>
      </c>
      <c r="U261" s="463">
        <f t="shared" si="57"/>
        <v>0</v>
      </c>
      <c r="V261" s="463">
        <f t="shared" si="57"/>
        <v>0</v>
      </c>
      <c r="W261" s="463">
        <f t="shared" si="57"/>
        <v>0</v>
      </c>
      <c r="X261" s="463">
        <f t="shared" si="57"/>
        <v>0</v>
      </c>
      <c r="Y261" s="463">
        <f t="shared" si="57"/>
        <v>0</v>
      </c>
      <c r="Z261" s="463">
        <f t="shared" si="57"/>
        <v>0</v>
      </c>
      <c r="AA261" s="463">
        <f t="shared" si="57"/>
        <v>1</v>
      </c>
      <c r="AB261" s="463">
        <f t="shared" si="57"/>
        <v>0</v>
      </c>
      <c r="AC261" s="463">
        <f t="shared" si="58"/>
        <v>0</v>
      </c>
      <c r="AD261" s="463">
        <f t="shared" si="58"/>
        <v>0</v>
      </c>
      <c r="AE261" s="463">
        <f t="shared" si="58"/>
        <v>0</v>
      </c>
      <c r="AF261" s="621">
        <f t="shared" si="58"/>
        <v>0</v>
      </c>
      <c r="AG261" s="573"/>
      <c r="AH261" s="464"/>
      <c r="AI261" s="464"/>
      <c r="AJ261" s="464"/>
      <c r="AK261" s="464"/>
      <c r="AL261" s="465">
        <f>+IF($I261=AL$10,IF($L261=AL$11,#REF!,0),0)</f>
        <v>0</v>
      </c>
      <c r="AM261" s="463">
        <f>+IF($I261=AM$10,IF($L261=AM$11,#REF!,0),0)</f>
        <v>0</v>
      </c>
      <c r="AN261" s="464">
        <f>+IF($I261=AN$10,IF($L261=AN$11,#REF!,0),0)</f>
        <v>0</v>
      </c>
      <c r="AO261" s="464">
        <f>+IF($I261=AO$10,IF($L261=AO$11,#REF!,0),0)</f>
        <v>0</v>
      </c>
      <c r="AP261" s="464">
        <f>+IF($I261=AP$10,IF($L261=AP$11,#REF!,0),0)</f>
        <v>0</v>
      </c>
      <c r="AQ261" s="464">
        <f>+IF($I261=AQ$10,IF($L261=AQ$11,#REF!,0),0)</f>
        <v>0</v>
      </c>
      <c r="AR261" s="465">
        <f>+IF($I261=AR$10,IF($L261=AR$11,#REF!,0),0)</f>
        <v>0</v>
      </c>
      <c r="AS261" s="463">
        <f>+IF($I261=AS$10,IF($L261=AS$11,#REF!,0),0)</f>
        <v>0</v>
      </c>
      <c r="AT261" s="464">
        <f>+IF($I261=AT$10,IF($L261=AT$11,#REF!,0),0)</f>
        <v>0</v>
      </c>
      <c r="AU261" s="464">
        <f>+IF($I261=AU$10,IF($L261=AU$11,#REF!,0),0)</f>
        <v>0</v>
      </c>
      <c r="AV261" s="464">
        <f>+IF($I261=AV$10,IF($L261=AV$11,#REF!,0),0)</f>
        <v>0</v>
      </c>
      <c r="AW261" s="464">
        <f>+IF($I261=AW$10,IF($L261=AW$11,#REF!,0),0)</f>
        <v>0</v>
      </c>
      <c r="AX261" s="465">
        <f>+IF($I261=AX$10,IF($L261=AX$11,#REF!,0),0)</f>
        <v>0</v>
      </c>
      <c r="AY261" s="463">
        <f>+IF($I261=AY$10,IF($L261=AY$11,#REF!,0),0)</f>
        <v>0</v>
      </c>
      <c r="AZ261" s="464">
        <f>+IF($I261=AZ$10,IF($L261=AZ$11,#REF!,0),0)</f>
        <v>0</v>
      </c>
      <c r="BA261" s="464">
        <f>+IF($I261=BA$10,IF($L261=BA$11,#REF!,0),0)</f>
        <v>0</v>
      </c>
      <c r="BB261" s="464">
        <v>1</v>
      </c>
      <c r="BC261" s="464">
        <f>+IF($I261=BC$10,IF($L261=BC$11,#REF!,0),0)</f>
        <v>0</v>
      </c>
      <c r="BD261" s="465">
        <f>+IF($I261=BD$10,IF($L261=BD$11,#REF!,0),0)</f>
        <v>0</v>
      </c>
      <c r="BE261" s="463">
        <f>+IF($I261=BE$10,IF($L261=BE$11,#REF!,0),0)</f>
        <v>0</v>
      </c>
      <c r="BF261" s="464">
        <f>+IF($I261=BF$10,IF($L261=BF$11,#REF!,0),0)</f>
        <v>0</v>
      </c>
      <c r="BG261" s="464">
        <f>+IF($I261=BG$10,IF($L261=BG$11,#REF!,0),0)</f>
        <v>0</v>
      </c>
      <c r="BH261" s="464">
        <f>+IF($I261=BH$10,IF($L261=BH$11,#REF!,0),0)</f>
        <v>0</v>
      </c>
      <c r="BI261" s="464">
        <f>+IF($I261=BI$10,IF($L261=BI$11,#REF!,0),0)</f>
        <v>0</v>
      </c>
      <c r="BJ261" s="466">
        <f>+IF($I261=BJ$10,IF($L261=BJ$11,#REF!,0),0)</f>
        <v>0</v>
      </c>
    </row>
    <row r="262" spans="5:62" s="467" customFormat="1" ht="16.5" hidden="1" customHeight="1">
      <c r="E262" s="454" t="s">
        <v>1217</v>
      </c>
      <c r="F262" s="455"/>
      <c r="G262" s="456"/>
      <c r="H262" s="457" t="str">
        <f t="shared" si="16"/>
        <v>-</v>
      </c>
      <c r="I262" s="458" t="str">
        <f t="shared" si="47"/>
        <v>POSTE DE TELEFONO</v>
      </c>
      <c r="J262" s="566"/>
      <c r="K262" s="459" t="s">
        <v>1203</v>
      </c>
      <c r="L262" s="460" t="s">
        <v>1191</v>
      </c>
      <c r="M262" s="463">
        <f t="shared" si="57"/>
        <v>0</v>
      </c>
      <c r="N262" s="463">
        <f t="shared" si="57"/>
        <v>0</v>
      </c>
      <c r="O262" s="463">
        <f t="shared" si="57"/>
        <v>0</v>
      </c>
      <c r="P262" s="463">
        <f t="shared" si="57"/>
        <v>0</v>
      </c>
      <c r="Q262" s="463">
        <f t="shared" si="57"/>
        <v>0</v>
      </c>
      <c r="R262" s="463">
        <f t="shared" si="57"/>
        <v>0</v>
      </c>
      <c r="S262" s="463">
        <f t="shared" si="57"/>
        <v>0</v>
      </c>
      <c r="T262" s="463">
        <f t="shared" si="57"/>
        <v>0</v>
      </c>
      <c r="U262" s="463">
        <f t="shared" si="57"/>
        <v>0</v>
      </c>
      <c r="V262" s="463">
        <f t="shared" si="57"/>
        <v>0</v>
      </c>
      <c r="W262" s="463">
        <f t="shared" si="57"/>
        <v>0</v>
      </c>
      <c r="X262" s="463">
        <f t="shared" si="57"/>
        <v>0</v>
      </c>
      <c r="Y262" s="463">
        <f t="shared" si="57"/>
        <v>0</v>
      </c>
      <c r="Z262" s="463">
        <f t="shared" si="57"/>
        <v>0</v>
      </c>
      <c r="AA262" s="463">
        <f t="shared" si="57"/>
        <v>1</v>
      </c>
      <c r="AB262" s="463">
        <f t="shared" si="57"/>
        <v>0</v>
      </c>
      <c r="AC262" s="463">
        <f t="shared" si="58"/>
        <v>0</v>
      </c>
      <c r="AD262" s="463">
        <f t="shared" si="58"/>
        <v>0</v>
      </c>
      <c r="AE262" s="463">
        <f t="shared" si="58"/>
        <v>0</v>
      </c>
      <c r="AF262" s="621">
        <f t="shared" si="58"/>
        <v>0</v>
      </c>
      <c r="AG262" s="573"/>
      <c r="AH262" s="464"/>
      <c r="AI262" s="464"/>
      <c r="AJ262" s="464"/>
      <c r="AK262" s="464"/>
      <c r="AL262" s="465">
        <f>+IF($I262=AL$10,IF($L262=AL$11,#REF!,0),0)</f>
        <v>0</v>
      </c>
      <c r="AM262" s="463">
        <f>+IF($I262=AM$10,IF($L262=AM$11,#REF!,0),0)</f>
        <v>0</v>
      </c>
      <c r="AN262" s="464">
        <f>+IF($I262=AN$10,IF($L262=AN$11,#REF!,0),0)</f>
        <v>0</v>
      </c>
      <c r="AO262" s="464">
        <f>+IF($I262=AO$10,IF($L262=AO$11,#REF!,0),0)</f>
        <v>0</v>
      </c>
      <c r="AP262" s="464">
        <f>+IF($I262=AP$10,IF($L262=AP$11,#REF!,0),0)</f>
        <v>0</v>
      </c>
      <c r="AQ262" s="464">
        <f>+IF($I262=AQ$10,IF($L262=AQ$11,#REF!,0),0)</f>
        <v>0</v>
      </c>
      <c r="AR262" s="465">
        <f>+IF($I262=AR$10,IF($L262=AR$11,#REF!,0),0)</f>
        <v>0</v>
      </c>
      <c r="AS262" s="463">
        <f>+IF($I262=AS$10,IF($L262=AS$11,#REF!,0),0)</f>
        <v>0</v>
      </c>
      <c r="AT262" s="464">
        <f>+IF($I262=AT$10,IF($L262=AT$11,#REF!,0),0)</f>
        <v>0</v>
      </c>
      <c r="AU262" s="464">
        <f>+IF($I262=AU$10,IF($L262=AU$11,#REF!,0),0)</f>
        <v>0</v>
      </c>
      <c r="AV262" s="464">
        <f>+IF($I262=AV$10,IF($L262=AV$11,#REF!,0),0)</f>
        <v>0</v>
      </c>
      <c r="AW262" s="464">
        <f>+IF($I262=AW$10,IF($L262=AW$11,#REF!,0),0)</f>
        <v>0</v>
      </c>
      <c r="AX262" s="465">
        <f>+IF($I262=AX$10,IF($L262=AX$11,#REF!,0),0)</f>
        <v>0</v>
      </c>
      <c r="AY262" s="463">
        <f>+IF($I262=AY$10,IF($L262=AY$11,#REF!,0),0)</f>
        <v>0</v>
      </c>
      <c r="AZ262" s="464">
        <f>+IF($I262=AZ$10,IF($L262=AZ$11,#REF!,0),0)</f>
        <v>0</v>
      </c>
      <c r="BA262" s="464">
        <v>1</v>
      </c>
      <c r="BB262" s="464">
        <f>+IF($I262=BB$10,IF($L262=BB$11,#REF!,0),0)</f>
        <v>0</v>
      </c>
      <c r="BC262" s="464">
        <f>+IF($I262=BC$10,IF($L262=BC$11,#REF!,0),0)</f>
        <v>0</v>
      </c>
      <c r="BD262" s="465">
        <f>+IF($I262=BD$10,IF($L262=BD$11,#REF!,0),0)</f>
        <v>0</v>
      </c>
      <c r="BE262" s="463">
        <f>+IF($I262=BE$10,IF($L262=BE$11,#REF!,0),0)</f>
        <v>0</v>
      </c>
      <c r="BF262" s="464">
        <f>+IF($I262=BF$10,IF($L262=BF$11,#REF!,0),0)</f>
        <v>0</v>
      </c>
      <c r="BG262" s="464">
        <f>+IF($I262=BG$10,IF($L262=BG$11,#REF!,0),0)</f>
        <v>0</v>
      </c>
      <c r="BH262" s="464">
        <f>+IF($I262=BH$10,IF($L262=BH$11,#REF!,0),0)</f>
        <v>0</v>
      </c>
      <c r="BI262" s="464">
        <f>+IF($I262=BI$10,IF($L262=BI$11,#REF!,0),0)</f>
        <v>0</v>
      </c>
      <c r="BJ262" s="466">
        <f>+IF($I262=BJ$10,IF($L262=BJ$11,#REF!,0),0)</f>
        <v>0</v>
      </c>
    </row>
    <row r="263" spans="5:62" s="467" customFormat="1" ht="16.5" hidden="1" customHeight="1">
      <c r="E263" s="454" t="s">
        <v>1217</v>
      </c>
      <c r="F263" s="455"/>
      <c r="G263" s="456"/>
      <c r="H263" s="457" t="str">
        <f t="shared" si="16"/>
        <v>-</v>
      </c>
      <c r="I263" s="458" t="str">
        <f t="shared" si="47"/>
        <v>POSTE DE TELEFONO</v>
      </c>
      <c r="J263" s="566"/>
      <c r="K263" s="459" t="s">
        <v>1203</v>
      </c>
      <c r="L263" s="460" t="s">
        <v>1191</v>
      </c>
      <c r="M263" s="463">
        <f t="shared" si="57"/>
        <v>0</v>
      </c>
      <c r="N263" s="463">
        <f t="shared" si="57"/>
        <v>0</v>
      </c>
      <c r="O263" s="463">
        <f t="shared" si="57"/>
        <v>0</v>
      </c>
      <c r="P263" s="463">
        <f t="shared" si="57"/>
        <v>0</v>
      </c>
      <c r="Q263" s="463">
        <f t="shared" si="57"/>
        <v>0</v>
      </c>
      <c r="R263" s="463">
        <f t="shared" si="57"/>
        <v>0</v>
      </c>
      <c r="S263" s="463">
        <f t="shared" si="57"/>
        <v>0</v>
      </c>
      <c r="T263" s="463">
        <f t="shared" si="57"/>
        <v>0</v>
      </c>
      <c r="U263" s="463">
        <f t="shared" si="57"/>
        <v>0</v>
      </c>
      <c r="V263" s="463">
        <f t="shared" si="57"/>
        <v>0</v>
      </c>
      <c r="W263" s="463">
        <f t="shared" si="57"/>
        <v>0</v>
      </c>
      <c r="X263" s="463">
        <f t="shared" si="57"/>
        <v>0</v>
      </c>
      <c r="Y263" s="463">
        <f t="shared" si="57"/>
        <v>0</v>
      </c>
      <c r="Z263" s="463">
        <f t="shared" si="57"/>
        <v>0</v>
      </c>
      <c r="AA263" s="463">
        <f t="shared" si="57"/>
        <v>1</v>
      </c>
      <c r="AB263" s="463">
        <f t="shared" si="57"/>
        <v>0</v>
      </c>
      <c r="AC263" s="463">
        <f t="shared" si="58"/>
        <v>0</v>
      </c>
      <c r="AD263" s="463">
        <f t="shared" si="58"/>
        <v>0</v>
      </c>
      <c r="AE263" s="463">
        <f t="shared" si="58"/>
        <v>0</v>
      </c>
      <c r="AF263" s="621">
        <f t="shared" si="58"/>
        <v>0</v>
      </c>
      <c r="AG263" s="573"/>
      <c r="AH263" s="464"/>
      <c r="AI263" s="464"/>
      <c r="AJ263" s="464"/>
      <c r="AK263" s="464"/>
      <c r="AL263" s="465">
        <f>+IF($I263=AL$10,IF($L263=AL$11,#REF!,0),0)</f>
        <v>0</v>
      </c>
      <c r="AM263" s="463">
        <f>+IF($I263=AM$10,IF($L263=AM$11,#REF!,0),0)</f>
        <v>0</v>
      </c>
      <c r="AN263" s="464">
        <f>+IF($I263=AN$10,IF($L263=AN$11,#REF!,0),0)</f>
        <v>0</v>
      </c>
      <c r="AO263" s="464">
        <f>+IF($I263=AO$10,IF($L263=AO$11,#REF!,0),0)</f>
        <v>0</v>
      </c>
      <c r="AP263" s="464">
        <f>+IF($I263=AP$10,IF($L263=AP$11,#REF!,0),0)</f>
        <v>0</v>
      </c>
      <c r="AQ263" s="464">
        <f>+IF($I263=AQ$10,IF($L263=AQ$11,#REF!,0),0)</f>
        <v>0</v>
      </c>
      <c r="AR263" s="465">
        <f>+IF($I263=AR$10,IF($L263=AR$11,#REF!,0),0)</f>
        <v>0</v>
      </c>
      <c r="AS263" s="463">
        <f>+IF($I263=AS$10,IF($L263=AS$11,#REF!,0),0)</f>
        <v>0</v>
      </c>
      <c r="AT263" s="464">
        <f>+IF($I263=AT$10,IF($L263=AT$11,#REF!,0),0)</f>
        <v>0</v>
      </c>
      <c r="AU263" s="464">
        <f>+IF($I263=AU$10,IF($L263=AU$11,#REF!,0),0)</f>
        <v>0</v>
      </c>
      <c r="AV263" s="464">
        <f>+IF($I263=AV$10,IF($L263=AV$11,#REF!,0),0)</f>
        <v>0</v>
      </c>
      <c r="AW263" s="464">
        <f>+IF($I263=AW$10,IF($L263=AW$11,#REF!,0),0)</f>
        <v>0</v>
      </c>
      <c r="AX263" s="465">
        <f>+IF($I263=AX$10,IF($L263=AX$11,#REF!,0),0)</f>
        <v>0</v>
      </c>
      <c r="AY263" s="463">
        <f>+IF($I263=AY$10,IF($L263=AY$11,#REF!,0),0)</f>
        <v>0</v>
      </c>
      <c r="AZ263" s="464">
        <f>+IF($I263=AZ$10,IF($L263=AZ$11,#REF!,0),0)</f>
        <v>0</v>
      </c>
      <c r="BA263" s="464">
        <f>+IF($I263=BA$10,IF($L263=BA$11,#REF!,0),0)</f>
        <v>0</v>
      </c>
      <c r="BB263" s="464">
        <v>1</v>
      </c>
      <c r="BC263" s="464">
        <f>+IF($I263=BC$10,IF($L263=BC$11,#REF!,0),0)</f>
        <v>0</v>
      </c>
      <c r="BD263" s="465">
        <f>+IF($I263=BD$10,IF($L263=BD$11,#REF!,0),0)</f>
        <v>0</v>
      </c>
      <c r="BE263" s="463">
        <f>+IF($I263=BE$10,IF($L263=BE$11,#REF!,0),0)</f>
        <v>0</v>
      </c>
      <c r="BF263" s="464">
        <f>+IF($I263=BF$10,IF($L263=BF$11,#REF!,0),0)</f>
        <v>0</v>
      </c>
      <c r="BG263" s="464">
        <f>+IF($I263=BG$10,IF($L263=BG$11,#REF!,0),0)</f>
        <v>0</v>
      </c>
      <c r="BH263" s="464">
        <f>+IF($I263=BH$10,IF($L263=BH$11,#REF!,0),0)</f>
        <v>0</v>
      </c>
      <c r="BI263" s="464">
        <f>+IF($I263=BI$10,IF($L263=BI$11,#REF!,0),0)</f>
        <v>0</v>
      </c>
      <c r="BJ263" s="466">
        <f>+IF($I263=BJ$10,IF($L263=BJ$11,#REF!,0),0)</f>
        <v>0</v>
      </c>
    </row>
    <row r="264" spans="5:62" s="467" customFormat="1" ht="16.5" hidden="1" customHeight="1">
      <c r="E264" s="454" t="s">
        <v>1217</v>
      </c>
      <c r="F264" s="455"/>
      <c r="G264" s="456"/>
      <c r="H264" s="457" t="str">
        <f t="shared" ref="H264:H267" si="59">+CONCATENATE(F264,"-",G264)</f>
        <v>-</v>
      </c>
      <c r="I264" s="458" t="str">
        <f t="shared" si="47"/>
        <v>POSTE DE TELEFONO</v>
      </c>
      <c r="J264" s="566"/>
      <c r="K264" s="459" t="s">
        <v>1203</v>
      </c>
      <c r="L264" s="460" t="s">
        <v>1191</v>
      </c>
      <c r="M264" s="463">
        <f t="shared" ref="M264:AB267" si="60">+IF($L264=M$10,IF($K264=M$11,1,0),0)</f>
        <v>0</v>
      </c>
      <c r="N264" s="463">
        <f t="shared" si="60"/>
        <v>0</v>
      </c>
      <c r="O264" s="463">
        <f t="shared" si="60"/>
        <v>0</v>
      </c>
      <c r="P264" s="463">
        <f t="shared" si="60"/>
        <v>0</v>
      </c>
      <c r="Q264" s="463">
        <f t="shared" si="60"/>
        <v>0</v>
      </c>
      <c r="R264" s="463">
        <f t="shared" si="60"/>
        <v>0</v>
      </c>
      <c r="S264" s="463">
        <f t="shared" si="60"/>
        <v>0</v>
      </c>
      <c r="T264" s="463">
        <f t="shared" si="60"/>
        <v>0</v>
      </c>
      <c r="U264" s="463">
        <f t="shared" si="60"/>
        <v>0</v>
      </c>
      <c r="V264" s="463">
        <f t="shared" si="60"/>
        <v>0</v>
      </c>
      <c r="W264" s="463">
        <f t="shared" si="60"/>
        <v>0</v>
      </c>
      <c r="X264" s="463">
        <f t="shared" si="60"/>
        <v>0</v>
      </c>
      <c r="Y264" s="463">
        <f t="shared" si="60"/>
        <v>0</v>
      </c>
      <c r="Z264" s="463">
        <f t="shared" si="60"/>
        <v>0</v>
      </c>
      <c r="AA264" s="463">
        <f t="shared" si="60"/>
        <v>1</v>
      </c>
      <c r="AB264" s="463">
        <f t="shared" si="60"/>
        <v>0</v>
      </c>
      <c r="AC264" s="463">
        <f t="shared" ref="AC264:AF267" si="61">+IF($L264=AC$10,IF($K264=AC$11,1,0),0)</f>
        <v>0</v>
      </c>
      <c r="AD264" s="463">
        <f t="shared" si="61"/>
        <v>0</v>
      </c>
      <c r="AE264" s="463">
        <f t="shared" si="61"/>
        <v>0</v>
      </c>
      <c r="AF264" s="621">
        <f t="shared" si="61"/>
        <v>0</v>
      </c>
      <c r="AG264" s="573"/>
      <c r="AH264" s="464"/>
      <c r="AI264" s="464"/>
      <c r="AJ264" s="464"/>
      <c r="AK264" s="464"/>
      <c r="AL264" s="465">
        <f>+IF($I264=AL$10,IF($L264=AL$11,#REF!,0),0)</f>
        <v>0</v>
      </c>
      <c r="AM264" s="463">
        <f>+IF($I264=AM$10,IF($L264=AM$11,#REF!,0),0)</f>
        <v>0</v>
      </c>
      <c r="AN264" s="464">
        <f>+IF($I264=AN$10,IF($L264=AN$11,#REF!,0),0)</f>
        <v>0</v>
      </c>
      <c r="AO264" s="464">
        <f>+IF($I264=AO$10,IF($L264=AO$11,#REF!,0),0)</f>
        <v>0</v>
      </c>
      <c r="AP264" s="464">
        <f>+IF($I264=AP$10,IF($L264=AP$11,#REF!,0),0)</f>
        <v>0</v>
      </c>
      <c r="AQ264" s="464">
        <f>+IF($I264=AQ$10,IF($L264=AQ$11,#REF!,0),0)</f>
        <v>0</v>
      </c>
      <c r="AR264" s="465">
        <f>+IF($I264=AR$10,IF($L264=AR$11,#REF!,0),0)</f>
        <v>0</v>
      </c>
      <c r="AS264" s="463">
        <f>+IF($I264=AS$10,IF($L264=AS$11,#REF!,0),0)</f>
        <v>0</v>
      </c>
      <c r="AT264" s="464">
        <f>+IF($I264=AT$10,IF($L264=AT$11,#REF!,0),0)</f>
        <v>0</v>
      </c>
      <c r="AU264" s="464">
        <f>+IF($I264=AU$10,IF($L264=AU$11,#REF!,0),0)</f>
        <v>0</v>
      </c>
      <c r="AV264" s="464">
        <f>+IF($I264=AV$10,IF($L264=AV$11,#REF!,0),0)</f>
        <v>0</v>
      </c>
      <c r="AW264" s="464">
        <f>+IF($I264=AW$10,IF($L264=AW$11,#REF!,0),0)</f>
        <v>0</v>
      </c>
      <c r="AX264" s="465">
        <f>+IF($I264=AX$10,IF($L264=AX$11,#REF!,0),0)</f>
        <v>0</v>
      </c>
      <c r="AY264" s="463">
        <f>+IF($I264=AY$10,IF($L264=AY$11,#REF!,0),0)</f>
        <v>0</v>
      </c>
      <c r="AZ264" s="464">
        <f>+IF($I264=AZ$10,IF($L264=AZ$11,#REF!,0),0)</f>
        <v>0</v>
      </c>
      <c r="BA264" s="464">
        <v>1</v>
      </c>
      <c r="BB264" s="464">
        <f>+IF($I264=BB$10,IF($L264=BB$11,#REF!,0),0)</f>
        <v>0</v>
      </c>
      <c r="BC264" s="464">
        <f>+IF($I264=BC$10,IF($L264=BC$11,#REF!,0),0)</f>
        <v>0</v>
      </c>
      <c r="BD264" s="465">
        <f>+IF($I264=BD$10,IF($L264=BD$11,#REF!,0),0)</f>
        <v>0</v>
      </c>
      <c r="BE264" s="463">
        <f>+IF($I264=BE$10,IF($L264=BE$11,#REF!,0),0)</f>
        <v>0</v>
      </c>
      <c r="BF264" s="464">
        <f>+IF($I264=BF$10,IF($L264=BF$11,#REF!,0),0)</f>
        <v>0</v>
      </c>
      <c r="BG264" s="464">
        <f>+IF($I264=BG$10,IF($L264=BG$11,#REF!,0),0)</f>
        <v>0</v>
      </c>
      <c r="BH264" s="464">
        <f>+IF($I264=BH$10,IF($L264=BH$11,#REF!,0),0)</f>
        <v>0</v>
      </c>
      <c r="BI264" s="464">
        <f>+IF($I264=BI$10,IF($L264=BI$11,#REF!,0),0)</f>
        <v>0</v>
      </c>
      <c r="BJ264" s="466">
        <f>+IF($I264=BJ$10,IF($L264=BJ$11,#REF!,0),0)</f>
        <v>0</v>
      </c>
    </row>
    <row r="265" spans="5:62" s="467" customFormat="1" ht="16.5" hidden="1" customHeight="1">
      <c r="E265" s="454" t="s">
        <v>1217</v>
      </c>
      <c r="F265" s="455"/>
      <c r="G265" s="456"/>
      <c r="H265" s="457" t="str">
        <f t="shared" si="59"/>
        <v>-</v>
      </c>
      <c r="I265" s="458" t="str">
        <f t="shared" si="47"/>
        <v>POSTE DE TELEFONO</v>
      </c>
      <c r="J265" s="566"/>
      <c r="K265" s="459" t="s">
        <v>1203</v>
      </c>
      <c r="L265" s="460" t="s">
        <v>1191</v>
      </c>
      <c r="M265" s="463">
        <f t="shared" si="60"/>
        <v>0</v>
      </c>
      <c r="N265" s="463">
        <f t="shared" si="60"/>
        <v>0</v>
      </c>
      <c r="O265" s="463">
        <f t="shared" si="60"/>
        <v>0</v>
      </c>
      <c r="P265" s="463">
        <f t="shared" si="60"/>
        <v>0</v>
      </c>
      <c r="Q265" s="463">
        <f t="shared" si="60"/>
        <v>0</v>
      </c>
      <c r="R265" s="463">
        <f t="shared" si="60"/>
        <v>0</v>
      </c>
      <c r="S265" s="463">
        <f t="shared" si="60"/>
        <v>0</v>
      </c>
      <c r="T265" s="463">
        <f t="shared" si="60"/>
        <v>0</v>
      </c>
      <c r="U265" s="463">
        <f t="shared" si="60"/>
        <v>0</v>
      </c>
      <c r="V265" s="463">
        <f t="shared" si="60"/>
        <v>0</v>
      </c>
      <c r="W265" s="463">
        <f t="shared" si="60"/>
        <v>0</v>
      </c>
      <c r="X265" s="463">
        <f t="shared" si="60"/>
        <v>0</v>
      </c>
      <c r="Y265" s="463">
        <f t="shared" si="60"/>
        <v>0</v>
      </c>
      <c r="Z265" s="463">
        <f t="shared" si="60"/>
        <v>0</v>
      </c>
      <c r="AA265" s="463">
        <f t="shared" si="60"/>
        <v>1</v>
      </c>
      <c r="AB265" s="463">
        <f t="shared" si="60"/>
        <v>0</v>
      </c>
      <c r="AC265" s="463">
        <f t="shared" si="61"/>
        <v>0</v>
      </c>
      <c r="AD265" s="463">
        <f t="shared" si="61"/>
        <v>0</v>
      </c>
      <c r="AE265" s="463">
        <f t="shared" si="61"/>
        <v>0</v>
      </c>
      <c r="AF265" s="621">
        <f t="shared" si="61"/>
        <v>0</v>
      </c>
      <c r="AG265" s="573"/>
      <c r="AH265" s="464"/>
      <c r="AI265" s="464"/>
      <c r="AJ265" s="464"/>
      <c r="AK265" s="464"/>
      <c r="AL265" s="465">
        <f>+IF($I265=AL$10,IF($L265=AL$11,#REF!,0),0)</f>
        <v>0</v>
      </c>
      <c r="AM265" s="463">
        <f>+IF($I265=AM$10,IF($L265=AM$11,#REF!,0),0)</f>
        <v>0</v>
      </c>
      <c r="AN265" s="464">
        <f>+IF($I265=AN$10,IF($L265=AN$11,#REF!,0),0)</f>
        <v>0</v>
      </c>
      <c r="AO265" s="464">
        <f>+IF($I265=AO$10,IF($L265=AO$11,#REF!,0),0)</f>
        <v>0</v>
      </c>
      <c r="AP265" s="464">
        <f>+IF($I265=AP$10,IF($L265=AP$11,#REF!,0),0)</f>
        <v>0</v>
      </c>
      <c r="AQ265" s="464">
        <f>+IF($I265=AQ$10,IF($L265=AQ$11,#REF!,0),0)</f>
        <v>0</v>
      </c>
      <c r="AR265" s="465">
        <f>+IF($I265=AR$10,IF($L265=AR$11,#REF!,0),0)</f>
        <v>0</v>
      </c>
      <c r="AS265" s="463">
        <f>+IF($I265=AS$10,IF($L265=AS$11,#REF!,0),0)</f>
        <v>0</v>
      </c>
      <c r="AT265" s="464">
        <f>+IF($I265=AT$10,IF($L265=AT$11,#REF!,0),0)</f>
        <v>0</v>
      </c>
      <c r="AU265" s="464">
        <f>+IF($I265=AU$10,IF($L265=AU$11,#REF!,0),0)</f>
        <v>0</v>
      </c>
      <c r="AV265" s="464">
        <f>+IF($I265=AV$10,IF($L265=AV$11,#REF!,0),0)</f>
        <v>0</v>
      </c>
      <c r="AW265" s="464">
        <f>+IF($I265=AW$10,IF($L265=AW$11,#REF!,0),0)</f>
        <v>0</v>
      </c>
      <c r="AX265" s="465">
        <f>+IF($I265=AX$10,IF($L265=AX$11,#REF!,0),0)</f>
        <v>0</v>
      </c>
      <c r="AY265" s="463">
        <f>+IF($I265=AY$10,IF($L265=AY$11,#REF!,0),0)</f>
        <v>0</v>
      </c>
      <c r="AZ265" s="464">
        <f>+IF($I265=AZ$10,IF($L265=AZ$11,#REF!,0),0)</f>
        <v>0</v>
      </c>
      <c r="BA265" s="464">
        <f>+IF($I265=BA$10,IF($L265=BA$11,#REF!,0),0)</f>
        <v>0</v>
      </c>
      <c r="BB265" s="464">
        <v>1</v>
      </c>
      <c r="BC265" s="464">
        <f>+IF($I265=BC$10,IF($L265=BC$11,#REF!,0),0)</f>
        <v>0</v>
      </c>
      <c r="BD265" s="465">
        <f>+IF($I265=BD$10,IF($L265=BD$11,#REF!,0),0)</f>
        <v>0</v>
      </c>
      <c r="BE265" s="463">
        <f>+IF($I265=BE$10,IF($L265=BE$11,#REF!,0),0)</f>
        <v>0</v>
      </c>
      <c r="BF265" s="464">
        <f>+IF($I265=BF$10,IF($L265=BF$11,#REF!,0),0)</f>
        <v>0</v>
      </c>
      <c r="BG265" s="464">
        <f>+IF($I265=BG$10,IF($L265=BG$11,#REF!,0),0)</f>
        <v>0</v>
      </c>
      <c r="BH265" s="464">
        <f>+IF($I265=BH$10,IF($L265=BH$11,#REF!,0),0)</f>
        <v>0</v>
      </c>
      <c r="BI265" s="464">
        <f>+IF($I265=BI$10,IF($L265=BI$11,#REF!,0),0)</f>
        <v>0</v>
      </c>
      <c r="BJ265" s="466">
        <f>+IF($I265=BJ$10,IF($L265=BJ$11,#REF!,0),0)</f>
        <v>0</v>
      </c>
    </row>
    <row r="266" spans="5:62" s="467" customFormat="1" ht="16.5" hidden="1" customHeight="1">
      <c r="E266" s="454" t="s">
        <v>1217</v>
      </c>
      <c r="F266" s="455"/>
      <c r="G266" s="456"/>
      <c r="H266" s="457" t="str">
        <f t="shared" si="59"/>
        <v>-</v>
      </c>
      <c r="I266" s="458" t="str">
        <f t="shared" si="47"/>
        <v>POSTE DE MEDIA TENSIÓN</v>
      </c>
      <c r="J266" s="566"/>
      <c r="K266" s="459" t="s">
        <v>1206</v>
      </c>
      <c r="L266" s="460" t="s">
        <v>1191</v>
      </c>
      <c r="M266" s="463">
        <f t="shared" si="60"/>
        <v>0</v>
      </c>
      <c r="N266" s="463">
        <f t="shared" si="60"/>
        <v>0</v>
      </c>
      <c r="O266" s="463">
        <f t="shared" si="60"/>
        <v>0</v>
      </c>
      <c r="P266" s="463">
        <f t="shared" si="60"/>
        <v>0</v>
      </c>
      <c r="Q266" s="463">
        <f t="shared" si="60"/>
        <v>0</v>
      </c>
      <c r="R266" s="463">
        <f t="shared" si="60"/>
        <v>0</v>
      </c>
      <c r="S266" s="463">
        <f t="shared" si="60"/>
        <v>0</v>
      </c>
      <c r="T266" s="463">
        <f t="shared" si="60"/>
        <v>0</v>
      </c>
      <c r="U266" s="463">
        <f t="shared" si="60"/>
        <v>0</v>
      </c>
      <c r="V266" s="463">
        <f t="shared" si="60"/>
        <v>0</v>
      </c>
      <c r="W266" s="463">
        <f t="shared" si="60"/>
        <v>0</v>
      </c>
      <c r="X266" s="463">
        <f t="shared" si="60"/>
        <v>0</v>
      </c>
      <c r="Y266" s="463">
        <f t="shared" si="60"/>
        <v>0</v>
      </c>
      <c r="Z266" s="463">
        <f t="shared" si="60"/>
        <v>0</v>
      </c>
      <c r="AA266" s="463">
        <f t="shared" si="60"/>
        <v>0</v>
      </c>
      <c r="AB266" s="463">
        <f t="shared" si="60"/>
        <v>0</v>
      </c>
      <c r="AC266" s="463">
        <f t="shared" si="61"/>
        <v>0</v>
      </c>
      <c r="AD266" s="463">
        <f t="shared" si="61"/>
        <v>1</v>
      </c>
      <c r="AE266" s="463">
        <f t="shared" si="61"/>
        <v>0</v>
      </c>
      <c r="AF266" s="621">
        <f t="shared" si="61"/>
        <v>0</v>
      </c>
      <c r="AG266" s="573"/>
      <c r="AH266" s="464"/>
      <c r="AI266" s="464"/>
      <c r="AJ266" s="464"/>
      <c r="AK266" s="464"/>
      <c r="AL266" s="465">
        <f>+IF($I266=AL$10,IF($L266=AL$11,#REF!,0),0)</f>
        <v>0</v>
      </c>
      <c r="AM266" s="463">
        <f>+IF($I266=AM$10,IF($L266=AM$11,#REF!,0),0)</f>
        <v>0</v>
      </c>
      <c r="AN266" s="464">
        <f>+IF($I266=AN$10,IF($L266=AN$11,#REF!,0),0)</f>
        <v>0</v>
      </c>
      <c r="AO266" s="464">
        <f>+IF($I266=AO$10,IF($L266=AO$11,#REF!,0),0)</f>
        <v>0</v>
      </c>
      <c r="AP266" s="464">
        <f>+IF($I266=AP$10,IF($L266=AP$11,#REF!,0),0)</f>
        <v>0</v>
      </c>
      <c r="AQ266" s="464">
        <f>+IF($I266=AQ$10,IF($L266=AQ$11,#REF!,0),0)</f>
        <v>0</v>
      </c>
      <c r="AR266" s="465">
        <f>+IF($I266=AR$10,IF($L266=AR$11,#REF!,0),0)</f>
        <v>0</v>
      </c>
      <c r="AS266" s="463">
        <f>+IF($I266=AS$10,IF($L266=AS$11,#REF!,0),0)</f>
        <v>0</v>
      </c>
      <c r="AT266" s="464">
        <f>+IF($I266=AT$10,IF($L266=AT$11,#REF!,0),0)</f>
        <v>0</v>
      </c>
      <c r="AU266" s="464">
        <f>+IF($I266=AU$10,IF($L266=AU$11,#REF!,0),0)</f>
        <v>0</v>
      </c>
      <c r="AV266" s="464">
        <f>+IF($I266=AV$10,IF($L266=AV$11,#REF!,0),0)</f>
        <v>0</v>
      </c>
      <c r="AW266" s="464">
        <f>+IF($I266=AW$10,IF($L266=AW$11,#REF!,0),0)</f>
        <v>0</v>
      </c>
      <c r="AX266" s="465">
        <f>+IF($I266=AX$10,IF($L266=AX$11,#REF!,0),0)</f>
        <v>0</v>
      </c>
      <c r="AY266" s="463">
        <f>+IF($I266=AY$10,IF($L266=AY$11,#REF!,0),0)</f>
        <v>0</v>
      </c>
      <c r="AZ266" s="464">
        <f>+IF($I266=AZ$10,IF($L266=AZ$11,#REF!,0),0)</f>
        <v>0</v>
      </c>
      <c r="BA266" s="464">
        <v>1</v>
      </c>
      <c r="BB266" s="464">
        <f>+IF($I266=BB$10,IF($L266=BB$11,#REF!,0),0)</f>
        <v>0</v>
      </c>
      <c r="BC266" s="464">
        <f>+IF($I266=BC$10,IF($L266=BC$11,#REF!,0),0)</f>
        <v>0</v>
      </c>
      <c r="BD266" s="465">
        <f>+IF($I266=BD$10,IF($L266=BD$11,#REF!,0),0)</f>
        <v>0</v>
      </c>
      <c r="BE266" s="463">
        <f>+IF($I266=BE$10,IF($L266=BE$11,#REF!,0),0)</f>
        <v>0</v>
      </c>
      <c r="BF266" s="464">
        <f>+IF($I266=BF$10,IF($L266=BF$11,#REF!,0),0)</f>
        <v>0</v>
      </c>
      <c r="BG266" s="464">
        <f>+IF($I266=BG$10,IF($L266=BG$11,#REF!,0),0)</f>
        <v>0</v>
      </c>
      <c r="BH266" s="464">
        <f>+IF($I266=BH$10,IF($L266=BH$11,#REF!,0),0)</f>
        <v>0</v>
      </c>
      <c r="BI266" s="464">
        <f>+IF($I266=BI$10,IF($L266=BI$11,#REF!,0),0)</f>
        <v>0</v>
      </c>
      <c r="BJ266" s="466">
        <f>+IF($I266=BJ$10,IF($L266=BJ$11,#REF!,0),0)</f>
        <v>0</v>
      </c>
    </row>
    <row r="267" spans="5:62" s="467" customFormat="1" ht="16.5" hidden="1" customHeight="1">
      <c r="E267" s="454" t="s">
        <v>1217</v>
      </c>
      <c r="F267" s="455"/>
      <c r="G267" s="456"/>
      <c r="H267" s="457" t="str">
        <f t="shared" si="59"/>
        <v>-</v>
      </c>
      <c r="I267" s="458" t="str">
        <f t="shared" si="47"/>
        <v>POSTE DE TELEFONO</v>
      </c>
      <c r="J267" s="566"/>
      <c r="K267" s="459" t="s">
        <v>1203</v>
      </c>
      <c r="L267" s="460" t="s">
        <v>1191</v>
      </c>
      <c r="M267" s="463">
        <f t="shared" si="60"/>
        <v>0</v>
      </c>
      <c r="N267" s="463">
        <f t="shared" si="60"/>
        <v>0</v>
      </c>
      <c r="O267" s="463">
        <f t="shared" si="60"/>
        <v>0</v>
      </c>
      <c r="P267" s="463">
        <f t="shared" si="60"/>
        <v>0</v>
      </c>
      <c r="Q267" s="463">
        <f t="shared" si="60"/>
        <v>0</v>
      </c>
      <c r="R267" s="463">
        <f t="shared" si="60"/>
        <v>0</v>
      </c>
      <c r="S267" s="463">
        <f t="shared" si="60"/>
        <v>0</v>
      </c>
      <c r="T267" s="463">
        <f t="shared" si="60"/>
        <v>0</v>
      </c>
      <c r="U267" s="463">
        <f t="shared" si="60"/>
        <v>0</v>
      </c>
      <c r="V267" s="463">
        <f t="shared" si="60"/>
        <v>0</v>
      </c>
      <c r="W267" s="463">
        <f t="shared" si="60"/>
        <v>0</v>
      </c>
      <c r="X267" s="463">
        <f t="shared" si="60"/>
        <v>0</v>
      </c>
      <c r="Y267" s="463">
        <f t="shared" si="60"/>
        <v>0</v>
      </c>
      <c r="Z267" s="463">
        <f t="shared" si="60"/>
        <v>0</v>
      </c>
      <c r="AA267" s="463">
        <f t="shared" si="60"/>
        <v>1</v>
      </c>
      <c r="AB267" s="463">
        <f t="shared" si="60"/>
        <v>0</v>
      </c>
      <c r="AC267" s="463">
        <f t="shared" si="61"/>
        <v>0</v>
      </c>
      <c r="AD267" s="463">
        <f t="shared" si="61"/>
        <v>0</v>
      </c>
      <c r="AE267" s="463">
        <f t="shared" si="61"/>
        <v>0</v>
      </c>
      <c r="AF267" s="621">
        <f t="shared" si="61"/>
        <v>0</v>
      </c>
      <c r="AG267" s="573"/>
      <c r="AH267" s="464"/>
      <c r="AI267" s="464"/>
      <c r="AJ267" s="464"/>
      <c r="AK267" s="464"/>
      <c r="AL267" s="465">
        <f>+IF($I267=AL$10,IF($L267=AL$11,#REF!,0),0)</f>
        <v>0</v>
      </c>
      <c r="AM267" s="463">
        <f>+IF($I267=AM$10,IF($L267=AM$11,#REF!,0),0)</f>
        <v>0</v>
      </c>
      <c r="AN267" s="464">
        <f>+IF($I267=AN$10,IF($L267=AN$11,#REF!,0),0)</f>
        <v>0</v>
      </c>
      <c r="AO267" s="464">
        <f>+IF($I267=AO$10,IF($L267=AO$11,#REF!,0),0)</f>
        <v>0</v>
      </c>
      <c r="AP267" s="464">
        <f>+IF($I267=AP$10,IF($L267=AP$11,#REF!,0),0)</f>
        <v>0</v>
      </c>
      <c r="AQ267" s="464">
        <f>+IF($I267=AQ$10,IF($L267=AQ$11,#REF!,0),0)</f>
        <v>0</v>
      </c>
      <c r="AR267" s="465">
        <f>+IF($I267=AR$10,IF($L267=AR$11,#REF!,0),0)</f>
        <v>0</v>
      </c>
      <c r="AS267" s="463">
        <f>+IF($I267=AS$10,IF($L267=AS$11,#REF!,0),0)</f>
        <v>0</v>
      </c>
      <c r="AT267" s="464">
        <f>+IF($I267=AT$10,IF($L267=AT$11,#REF!,0),0)</f>
        <v>0</v>
      </c>
      <c r="AU267" s="464">
        <f>+IF($I267=AU$10,IF($L267=AU$11,#REF!,0),0)</f>
        <v>0</v>
      </c>
      <c r="AV267" s="464">
        <f>+IF($I267=AV$10,IF($L267=AV$11,#REF!,0),0)</f>
        <v>0</v>
      </c>
      <c r="AW267" s="464">
        <f>+IF($I267=AW$10,IF($L267=AW$11,#REF!,0),0)</f>
        <v>0</v>
      </c>
      <c r="AX267" s="465">
        <f>+IF($I267=AX$10,IF($L267=AX$11,#REF!,0),0)</f>
        <v>0</v>
      </c>
      <c r="AY267" s="463">
        <f>+IF($I267=AY$10,IF($L267=AY$11,#REF!,0),0)</f>
        <v>0</v>
      </c>
      <c r="AZ267" s="464">
        <f>+IF($I267=AZ$10,IF($L267=AZ$11,#REF!,0),0)</f>
        <v>0</v>
      </c>
      <c r="BA267" s="464">
        <f>+IF($I267=BA$10,IF($L267=BA$11,#REF!,0),0)</f>
        <v>0</v>
      </c>
      <c r="BB267" s="464">
        <v>1</v>
      </c>
      <c r="BC267" s="464">
        <f>+IF($I267=BC$10,IF($L267=BC$11,#REF!,0),0)</f>
        <v>0</v>
      </c>
      <c r="BD267" s="465">
        <f>+IF($I267=BD$10,IF($L267=BD$11,#REF!,0),0)</f>
        <v>0</v>
      </c>
      <c r="BE267" s="463">
        <f>+IF($I267=BE$10,IF($L267=BE$11,#REF!,0),0)</f>
        <v>0</v>
      </c>
      <c r="BF267" s="464">
        <f>+IF($I267=BF$10,IF($L267=BF$11,#REF!,0),0)</f>
        <v>0</v>
      </c>
      <c r="BG267" s="464">
        <f>+IF($I267=BG$10,IF($L267=BG$11,#REF!,0),0)</f>
        <v>0</v>
      </c>
      <c r="BH267" s="464">
        <f>+IF($I267=BH$10,IF($L267=BH$11,#REF!,0),0)</f>
        <v>0</v>
      </c>
      <c r="BI267" s="464">
        <f>+IF($I267=BI$10,IF($L267=BI$11,#REF!,0),0)</f>
        <v>0</v>
      </c>
      <c r="BJ267" s="466">
        <f>+IF($I267=BJ$10,IF($L267=BJ$11,#REF!,0),0)</f>
        <v>0</v>
      </c>
    </row>
    <row r="268" spans="5:62" s="467" customFormat="1" ht="16.5" hidden="1" customHeight="1">
      <c r="E268" s="454" t="s">
        <v>1217</v>
      </c>
      <c r="F268" s="455"/>
      <c r="G268" s="456"/>
      <c r="H268" s="457" t="str">
        <f t="shared" si="16"/>
        <v>-</v>
      </c>
      <c r="I268" s="458" t="str">
        <f t="shared" si="47"/>
        <v>POSTE DE TELEFONO</v>
      </c>
      <c r="J268" s="566"/>
      <c r="K268" s="459" t="s">
        <v>1203</v>
      </c>
      <c r="L268" s="460" t="s">
        <v>1191</v>
      </c>
      <c r="M268" s="463">
        <f t="shared" ref="M268:AB271" si="62">+IF($L268=M$10,IF($K268=M$11,1,0),0)</f>
        <v>0</v>
      </c>
      <c r="N268" s="463">
        <f t="shared" si="62"/>
        <v>0</v>
      </c>
      <c r="O268" s="463">
        <f t="shared" si="62"/>
        <v>0</v>
      </c>
      <c r="P268" s="463">
        <f t="shared" si="62"/>
        <v>0</v>
      </c>
      <c r="Q268" s="463">
        <f t="shared" si="62"/>
        <v>0</v>
      </c>
      <c r="R268" s="463">
        <f t="shared" si="62"/>
        <v>0</v>
      </c>
      <c r="S268" s="463">
        <f t="shared" si="62"/>
        <v>0</v>
      </c>
      <c r="T268" s="463">
        <f t="shared" si="62"/>
        <v>0</v>
      </c>
      <c r="U268" s="463">
        <f t="shared" si="62"/>
        <v>0</v>
      </c>
      <c r="V268" s="463">
        <f t="shared" si="62"/>
        <v>0</v>
      </c>
      <c r="W268" s="463">
        <f t="shared" si="62"/>
        <v>0</v>
      </c>
      <c r="X268" s="463">
        <f t="shared" si="62"/>
        <v>0</v>
      </c>
      <c r="Y268" s="463">
        <f t="shared" si="62"/>
        <v>0</v>
      </c>
      <c r="Z268" s="463">
        <f t="shared" si="62"/>
        <v>0</v>
      </c>
      <c r="AA268" s="463">
        <f t="shared" si="62"/>
        <v>1</v>
      </c>
      <c r="AB268" s="463">
        <f t="shared" si="62"/>
        <v>0</v>
      </c>
      <c r="AC268" s="463">
        <f t="shared" ref="X268:AF271" si="63">+IF($L268=AC$10,IF($K268=AC$11,1,0),0)</f>
        <v>0</v>
      </c>
      <c r="AD268" s="463">
        <f t="shared" si="63"/>
        <v>0</v>
      </c>
      <c r="AE268" s="463">
        <f t="shared" si="63"/>
        <v>0</v>
      </c>
      <c r="AF268" s="621">
        <f t="shared" si="63"/>
        <v>0</v>
      </c>
      <c r="AG268" s="573"/>
      <c r="AH268" s="464"/>
      <c r="AI268" s="464"/>
      <c r="AJ268" s="464"/>
      <c r="AK268" s="464"/>
      <c r="AL268" s="465">
        <f>+IF($I268=AL$10,IF($L268=AL$11,#REF!,0),0)</f>
        <v>0</v>
      </c>
      <c r="AM268" s="463">
        <f>+IF($I268=AM$10,IF($L268=AM$11,#REF!,0),0)</f>
        <v>0</v>
      </c>
      <c r="AN268" s="464">
        <f>+IF($I268=AN$10,IF($L268=AN$11,#REF!,0),0)</f>
        <v>0</v>
      </c>
      <c r="AO268" s="464">
        <f>+IF($I268=AO$10,IF($L268=AO$11,#REF!,0),0)</f>
        <v>0</v>
      </c>
      <c r="AP268" s="464">
        <f>+IF($I268=AP$10,IF($L268=AP$11,#REF!,0),0)</f>
        <v>0</v>
      </c>
      <c r="AQ268" s="464">
        <f>+IF($I268=AQ$10,IF($L268=AQ$11,#REF!,0),0)</f>
        <v>0</v>
      </c>
      <c r="AR268" s="465">
        <f>+IF($I268=AR$10,IF($L268=AR$11,#REF!,0),0)</f>
        <v>0</v>
      </c>
      <c r="AS268" s="463">
        <f>+IF($I268=AS$10,IF($L268=AS$11,#REF!,0),0)</f>
        <v>0</v>
      </c>
      <c r="AT268" s="464">
        <f>+IF($I268=AT$10,IF($L268=AT$11,#REF!,0),0)</f>
        <v>0</v>
      </c>
      <c r="AU268" s="464">
        <f>+IF($I268=AU$10,IF($L268=AU$11,#REF!,0),0)</f>
        <v>0</v>
      </c>
      <c r="AV268" s="464">
        <f>+IF($I268=AV$10,IF($L268=AV$11,#REF!,0),0)</f>
        <v>0</v>
      </c>
      <c r="AW268" s="464">
        <f>+IF($I268=AW$10,IF($L268=AW$11,#REF!,0),0)</f>
        <v>0</v>
      </c>
      <c r="AX268" s="465">
        <f>+IF($I268=AX$10,IF($L268=AX$11,#REF!,0),0)</f>
        <v>0</v>
      </c>
      <c r="AY268" s="463">
        <f>+IF($I268=AY$10,IF($L268=AY$11,#REF!,0),0)</f>
        <v>0</v>
      </c>
      <c r="AZ268" s="464">
        <f>+IF($I268=AZ$10,IF($L268=AZ$11,#REF!,0),0)</f>
        <v>0</v>
      </c>
      <c r="BA268" s="464">
        <v>1</v>
      </c>
      <c r="BB268" s="464">
        <f>+IF($I268=BB$10,IF($L268=BB$11,#REF!,0),0)</f>
        <v>0</v>
      </c>
      <c r="BC268" s="464">
        <f>+IF($I268=BC$10,IF($L268=BC$11,#REF!,0),0)</f>
        <v>0</v>
      </c>
      <c r="BD268" s="465">
        <f>+IF($I268=BD$10,IF($L268=BD$11,#REF!,0),0)</f>
        <v>0</v>
      </c>
      <c r="BE268" s="463">
        <f>+IF($I268=BE$10,IF($L268=BE$11,#REF!,0),0)</f>
        <v>0</v>
      </c>
      <c r="BF268" s="464">
        <f>+IF($I268=BF$10,IF($L268=BF$11,#REF!,0),0)</f>
        <v>0</v>
      </c>
      <c r="BG268" s="464">
        <f>+IF($I268=BG$10,IF($L268=BG$11,#REF!,0),0)</f>
        <v>0</v>
      </c>
      <c r="BH268" s="464">
        <f>+IF($I268=BH$10,IF($L268=BH$11,#REF!,0),0)</f>
        <v>0</v>
      </c>
      <c r="BI268" s="464">
        <f>+IF($I268=BI$10,IF($L268=BI$11,#REF!,0),0)</f>
        <v>0</v>
      </c>
      <c r="BJ268" s="466">
        <f>+IF($I268=BJ$10,IF($L268=BJ$11,#REF!,0),0)</f>
        <v>0</v>
      </c>
    </row>
    <row r="269" spans="5:62" s="467" customFormat="1" ht="16.5" hidden="1" customHeight="1">
      <c r="E269" s="454" t="s">
        <v>1217</v>
      </c>
      <c r="F269" s="455"/>
      <c r="G269" s="456"/>
      <c r="H269" s="457" t="str">
        <f t="shared" si="16"/>
        <v>-</v>
      </c>
      <c r="I269" s="458" t="str">
        <f t="shared" si="47"/>
        <v>POSTE DE TELEFONO</v>
      </c>
      <c r="J269" s="566"/>
      <c r="K269" s="459" t="s">
        <v>1203</v>
      </c>
      <c r="L269" s="460" t="s">
        <v>1191</v>
      </c>
      <c r="M269" s="463">
        <f t="shared" si="62"/>
        <v>0</v>
      </c>
      <c r="N269" s="463">
        <f t="shared" si="62"/>
        <v>0</v>
      </c>
      <c r="O269" s="463">
        <f t="shared" si="62"/>
        <v>0</v>
      </c>
      <c r="P269" s="463">
        <f t="shared" si="62"/>
        <v>0</v>
      </c>
      <c r="Q269" s="463">
        <f t="shared" si="62"/>
        <v>0</v>
      </c>
      <c r="R269" s="463">
        <f t="shared" si="62"/>
        <v>0</v>
      </c>
      <c r="S269" s="463">
        <f t="shared" si="62"/>
        <v>0</v>
      </c>
      <c r="T269" s="463">
        <f t="shared" si="62"/>
        <v>0</v>
      </c>
      <c r="U269" s="463">
        <f t="shared" si="62"/>
        <v>0</v>
      </c>
      <c r="V269" s="463">
        <f t="shared" si="62"/>
        <v>0</v>
      </c>
      <c r="W269" s="463">
        <f t="shared" si="62"/>
        <v>0</v>
      </c>
      <c r="X269" s="463">
        <f t="shared" si="63"/>
        <v>0</v>
      </c>
      <c r="Y269" s="463">
        <f t="shared" si="63"/>
        <v>0</v>
      </c>
      <c r="Z269" s="463">
        <f t="shared" si="63"/>
        <v>0</v>
      </c>
      <c r="AA269" s="463">
        <f t="shared" si="63"/>
        <v>1</v>
      </c>
      <c r="AB269" s="463">
        <f t="shared" si="63"/>
        <v>0</v>
      </c>
      <c r="AC269" s="463">
        <f t="shared" si="63"/>
        <v>0</v>
      </c>
      <c r="AD269" s="463">
        <f t="shared" si="63"/>
        <v>0</v>
      </c>
      <c r="AE269" s="463">
        <f t="shared" si="63"/>
        <v>0</v>
      </c>
      <c r="AF269" s="621">
        <f t="shared" si="63"/>
        <v>0</v>
      </c>
      <c r="AG269" s="573"/>
      <c r="AH269" s="464"/>
      <c r="AI269" s="464"/>
      <c r="AJ269" s="464"/>
      <c r="AK269" s="464"/>
      <c r="AL269" s="465">
        <f>+IF($I269=AL$10,IF($L269=AL$11,#REF!,0),0)</f>
        <v>0</v>
      </c>
      <c r="AM269" s="463">
        <f>+IF($I269=AM$10,IF($L269=AM$11,#REF!,0),0)</f>
        <v>0</v>
      </c>
      <c r="AN269" s="464">
        <f>+IF($I269=AN$10,IF($L269=AN$11,#REF!,0),0)</f>
        <v>0</v>
      </c>
      <c r="AO269" s="464">
        <f>+IF($I269=AO$10,IF($L269=AO$11,#REF!,0),0)</f>
        <v>0</v>
      </c>
      <c r="AP269" s="464">
        <f>+IF($I269=AP$10,IF($L269=AP$11,#REF!,0),0)</f>
        <v>0</v>
      </c>
      <c r="AQ269" s="464">
        <f>+IF($I269=AQ$10,IF($L269=AQ$11,#REF!,0),0)</f>
        <v>0</v>
      </c>
      <c r="AR269" s="465">
        <f>+IF($I269=AR$10,IF($L269=AR$11,#REF!,0),0)</f>
        <v>0</v>
      </c>
      <c r="AS269" s="463">
        <f>+IF($I269=AS$10,IF($L269=AS$11,#REF!,0),0)</f>
        <v>0</v>
      </c>
      <c r="AT269" s="464">
        <f>+IF($I269=AT$10,IF($L269=AT$11,#REF!,0),0)</f>
        <v>0</v>
      </c>
      <c r="AU269" s="464">
        <f>+IF($I269=AU$10,IF($L269=AU$11,#REF!,0),0)</f>
        <v>0</v>
      </c>
      <c r="AV269" s="464">
        <f>+IF($I269=AV$10,IF($L269=AV$11,#REF!,0),0)</f>
        <v>0</v>
      </c>
      <c r="AW269" s="464">
        <f>+IF($I269=AW$10,IF($L269=AW$11,#REF!,0),0)</f>
        <v>0</v>
      </c>
      <c r="AX269" s="465">
        <f>+IF($I269=AX$10,IF($L269=AX$11,#REF!,0),0)</f>
        <v>0</v>
      </c>
      <c r="AY269" s="463">
        <f>+IF($I269=AY$10,IF($L269=AY$11,#REF!,0),0)</f>
        <v>0</v>
      </c>
      <c r="AZ269" s="464">
        <f>+IF($I269=AZ$10,IF($L269=AZ$11,#REF!,0),0)</f>
        <v>0</v>
      </c>
      <c r="BA269" s="464">
        <f>+IF($I269=BA$10,IF($L269=BA$11,#REF!,0),0)</f>
        <v>0</v>
      </c>
      <c r="BB269" s="464">
        <v>1</v>
      </c>
      <c r="BC269" s="464">
        <f>+IF($I269=BC$10,IF($L269=BC$11,#REF!,0),0)</f>
        <v>0</v>
      </c>
      <c r="BD269" s="465">
        <f>+IF($I269=BD$10,IF($L269=BD$11,#REF!,0),0)</f>
        <v>0</v>
      </c>
      <c r="BE269" s="463">
        <f>+IF($I269=BE$10,IF($L269=BE$11,#REF!,0),0)</f>
        <v>0</v>
      </c>
      <c r="BF269" s="464">
        <f>+IF($I269=BF$10,IF($L269=BF$11,#REF!,0),0)</f>
        <v>0</v>
      </c>
      <c r="BG269" s="464">
        <f>+IF($I269=BG$10,IF($L269=BG$11,#REF!,0),0)</f>
        <v>0</v>
      </c>
      <c r="BH269" s="464">
        <f>+IF($I269=BH$10,IF($L269=BH$11,#REF!,0),0)</f>
        <v>0</v>
      </c>
      <c r="BI269" s="464">
        <f>+IF($I269=BI$10,IF($L269=BI$11,#REF!,0),0)</f>
        <v>0</v>
      </c>
      <c r="BJ269" s="466">
        <f>+IF($I269=BJ$10,IF($L269=BJ$11,#REF!,0),0)</f>
        <v>0</v>
      </c>
    </row>
    <row r="270" spans="5:62" s="467" customFormat="1" ht="16.5" hidden="1" customHeight="1">
      <c r="E270" s="454" t="s">
        <v>1217</v>
      </c>
      <c r="F270" s="455"/>
      <c r="G270" s="456"/>
      <c r="H270" s="457" t="str">
        <f t="shared" ref="H270:H271" si="64">+CONCATENATE(F270,"-",G270)</f>
        <v>-</v>
      </c>
      <c r="I270" s="458" t="str">
        <f t="shared" si="47"/>
        <v>POSTE DE TELEFONO</v>
      </c>
      <c r="J270" s="566"/>
      <c r="K270" s="459" t="s">
        <v>1203</v>
      </c>
      <c r="L270" s="460" t="s">
        <v>1191</v>
      </c>
      <c r="M270" s="463">
        <f t="shared" si="62"/>
        <v>0</v>
      </c>
      <c r="N270" s="463">
        <f t="shared" si="62"/>
        <v>0</v>
      </c>
      <c r="O270" s="463">
        <f t="shared" si="62"/>
        <v>0</v>
      </c>
      <c r="P270" s="463">
        <f t="shared" si="62"/>
        <v>0</v>
      </c>
      <c r="Q270" s="463">
        <f t="shared" si="62"/>
        <v>0</v>
      </c>
      <c r="R270" s="463">
        <f t="shared" si="62"/>
        <v>0</v>
      </c>
      <c r="S270" s="463">
        <f t="shared" si="62"/>
        <v>0</v>
      </c>
      <c r="T270" s="463">
        <f t="shared" si="62"/>
        <v>0</v>
      </c>
      <c r="U270" s="463">
        <f t="shared" si="62"/>
        <v>0</v>
      </c>
      <c r="V270" s="463">
        <f t="shared" si="62"/>
        <v>0</v>
      </c>
      <c r="W270" s="463">
        <f t="shared" si="62"/>
        <v>0</v>
      </c>
      <c r="X270" s="463">
        <f t="shared" si="63"/>
        <v>0</v>
      </c>
      <c r="Y270" s="463">
        <f t="shared" si="63"/>
        <v>0</v>
      </c>
      <c r="Z270" s="463">
        <f t="shared" si="63"/>
        <v>0</v>
      </c>
      <c r="AA270" s="463">
        <f t="shared" si="63"/>
        <v>1</v>
      </c>
      <c r="AB270" s="463">
        <f t="shared" si="63"/>
        <v>0</v>
      </c>
      <c r="AC270" s="463">
        <f t="shared" si="63"/>
        <v>0</v>
      </c>
      <c r="AD270" s="463">
        <f t="shared" si="63"/>
        <v>0</v>
      </c>
      <c r="AE270" s="463">
        <f t="shared" si="63"/>
        <v>0</v>
      </c>
      <c r="AF270" s="621">
        <f t="shared" si="63"/>
        <v>0</v>
      </c>
      <c r="AG270" s="573"/>
      <c r="AH270" s="464"/>
      <c r="AI270" s="464"/>
      <c r="AJ270" s="464"/>
      <c r="AK270" s="464"/>
      <c r="AL270" s="465">
        <f>+IF($I270=AL$10,IF($L270=AL$11,#REF!,0),0)</f>
        <v>0</v>
      </c>
      <c r="AM270" s="463">
        <f>+IF($I270=AM$10,IF($L270=AM$11,#REF!,0),0)</f>
        <v>0</v>
      </c>
      <c r="AN270" s="464">
        <f>+IF($I270=AN$10,IF($L270=AN$11,#REF!,0),0)</f>
        <v>0</v>
      </c>
      <c r="AO270" s="464">
        <f>+IF($I270=AO$10,IF($L270=AO$11,#REF!,0),0)</f>
        <v>0</v>
      </c>
      <c r="AP270" s="464">
        <f>+IF($I270=AP$10,IF($L270=AP$11,#REF!,0),0)</f>
        <v>0</v>
      </c>
      <c r="AQ270" s="464">
        <f>+IF($I270=AQ$10,IF($L270=AQ$11,#REF!,0),0)</f>
        <v>0</v>
      </c>
      <c r="AR270" s="465">
        <f>+IF($I270=AR$10,IF($L270=AR$11,#REF!,0),0)</f>
        <v>0</v>
      </c>
      <c r="AS270" s="463">
        <f>+IF($I270=AS$10,IF($L270=AS$11,#REF!,0),0)</f>
        <v>0</v>
      </c>
      <c r="AT270" s="464">
        <f>+IF($I270=AT$10,IF($L270=AT$11,#REF!,0),0)</f>
        <v>0</v>
      </c>
      <c r="AU270" s="464">
        <f>+IF($I270=AU$10,IF($L270=AU$11,#REF!,0),0)</f>
        <v>0</v>
      </c>
      <c r="AV270" s="464">
        <f>+IF($I270=AV$10,IF($L270=AV$11,#REF!,0),0)</f>
        <v>0</v>
      </c>
      <c r="AW270" s="464">
        <f>+IF($I270=AW$10,IF($L270=AW$11,#REF!,0),0)</f>
        <v>0</v>
      </c>
      <c r="AX270" s="465">
        <f>+IF($I270=AX$10,IF($L270=AX$11,#REF!,0),0)</f>
        <v>0</v>
      </c>
      <c r="AY270" s="463">
        <f>+IF($I270=AY$10,IF($L270=AY$11,#REF!,0),0)</f>
        <v>0</v>
      </c>
      <c r="AZ270" s="464">
        <f>+IF($I270=AZ$10,IF($L270=AZ$11,#REF!,0),0)</f>
        <v>0</v>
      </c>
      <c r="BA270" s="464">
        <v>1</v>
      </c>
      <c r="BB270" s="464">
        <f>+IF($I270=BB$10,IF($L270=BB$11,#REF!,0),0)</f>
        <v>0</v>
      </c>
      <c r="BC270" s="464">
        <f>+IF($I270=BC$10,IF($L270=BC$11,#REF!,0),0)</f>
        <v>0</v>
      </c>
      <c r="BD270" s="465">
        <f>+IF($I270=BD$10,IF($L270=BD$11,#REF!,0),0)</f>
        <v>0</v>
      </c>
      <c r="BE270" s="463">
        <f>+IF($I270=BE$10,IF($L270=BE$11,#REF!,0),0)</f>
        <v>0</v>
      </c>
      <c r="BF270" s="464">
        <f>+IF($I270=BF$10,IF($L270=BF$11,#REF!,0),0)</f>
        <v>0</v>
      </c>
      <c r="BG270" s="464">
        <f>+IF($I270=BG$10,IF($L270=BG$11,#REF!,0),0)</f>
        <v>0</v>
      </c>
      <c r="BH270" s="464">
        <f>+IF($I270=BH$10,IF($L270=BH$11,#REF!,0),0)</f>
        <v>0</v>
      </c>
      <c r="BI270" s="464">
        <f>+IF($I270=BI$10,IF($L270=BI$11,#REF!,0),0)</f>
        <v>0</v>
      </c>
      <c r="BJ270" s="466">
        <f>+IF($I270=BJ$10,IF($L270=BJ$11,#REF!,0),0)</f>
        <v>0</v>
      </c>
    </row>
    <row r="271" spans="5:62" s="467" customFormat="1" ht="16.5" hidden="1" customHeight="1">
      <c r="E271" s="454" t="s">
        <v>1217</v>
      </c>
      <c r="F271" s="455"/>
      <c r="G271" s="456"/>
      <c r="H271" s="457" t="str">
        <f t="shared" si="64"/>
        <v>-</v>
      </c>
      <c r="I271" s="458" t="str">
        <f t="shared" si="47"/>
        <v>POSTE DE TELEFONO</v>
      </c>
      <c r="J271" s="566"/>
      <c r="K271" s="459" t="s">
        <v>1203</v>
      </c>
      <c r="L271" s="460" t="s">
        <v>1191</v>
      </c>
      <c r="M271" s="463">
        <f t="shared" si="62"/>
        <v>0</v>
      </c>
      <c r="N271" s="463">
        <f t="shared" si="62"/>
        <v>0</v>
      </c>
      <c r="O271" s="463">
        <f t="shared" si="62"/>
        <v>0</v>
      </c>
      <c r="P271" s="463">
        <f t="shared" si="62"/>
        <v>0</v>
      </c>
      <c r="Q271" s="463">
        <f t="shared" si="62"/>
        <v>0</v>
      </c>
      <c r="R271" s="463">
        <f t="shared" si="62"/>
        <v>0</v>
      </c>
      <c r="S271" s="463">
        <f t="shared" si="62"/>
        <v>0</v>
      </c>
      <c r="T271" s="463">
        <f t="shared" si="62"/>
        <v>0</v>
      </c>
      <c r="U271" s="463">
        <f t="shared" si="62"/>
        <v>0</v>
      </c>
      <c r="V271" s="463">
        <f t="shared" si="62"/>
        <v>0</v>
      </c>
      <c r="W271" s="463">
        <f t="shared" si="62"/>
        <v>0</v>
      </c>
      <c r="X271" s="463">
        <f t="shared" si="63"/>
        <v>0</v>
      </c>
      <c r="Y271" s="463">
        <f t="shared" si="63"/>
        <v>0</v>
      </c>
      <c r="Z271" s="463">
        <f t="shared" si="63"/>
        <v>0</v>
      </c>
      <c r="AA271" s="463">
        <f t="shared" si="63"/>
        <v>1</v>
      </c>
      <c r="AB271" s="463">
        <f t="shared" si="63"/>
        <v>0</v>
      </c>
      <c r="AC271" s="463">
        <f t="shared" si="63"/>
        <v>0</v>
      </c>
      <c r="AD271" s="463">
        <f t="shared" si="63"/>
        <v>0</v>
      </c>
      <c r="AE271" s="463">
        <f t="shared" si="63"/>
        <v>0</v>
      </c>
      <c r="AF271" s="621">
        <f t="shared" si="63"/>
        <v>0</v>
      </c>
      <c r="AG271" s="573"/>
      <c r="AH271" s="464"/>
      <c r="AI271" s="464"/>
      <c r="AJ271" s="464"/>
      <c r="AK271" s="464"/>
      <c r="AL271" s="465">
        <f>+IF($I271=AL$10,IF($L271=AL$11,#REF!,0),0)</f>
        <v>0</v>
      </c>
      <c r="AM271" s="463">
        <f>+IF($I271=AM$10,IF($L271=AM$11,#REF!,0),0)</f>
        <v>0</v>
      </c>
      <c r="AN271" s="464">
        <f>+IF($I271=AN$10,IF($L271=AN$11,#REF!,0),0)</f>
        <v>0</v>
      </c>
      <c r="AO271" s="464">
        <f>+IF($I271=AO$10,IF($L271=AO$11,#REF!,0),0)</f>
        <v>0</v>
      </c>
      <c r="AP271" s="464">
        <f>+IF($I271=AP$10,IF($L271=AP$11,#REF!,0),0)</f>
        <v>0</v>
      </c>
      <c r="AQ271" s="464">
        <f>+IF($I271=AQ$10,IF($L271=AQ$11,#REF!,0),0)</f>
        <v>0</v>
      </c>
      <c r="AR271" s="465">
        <f>+IF($I271=AR$10,IF($L271=AR$11,#REF!,0),0)</f>
        <v>0</v>
      </c>
      <c r="AS271" s="463">
        <f>+IF($I271=AS$10,IF($L271=AS$11,#REF!,0),0)</f>
        <v>0</v>
      </c>
      <c r="AT271" s="464">
        <f>+IF($I271=AT$10,IF($L271=AT$11,#REF!,0),0)</f>
        <v>0</v>
      </c>
      <c r="AU271" s="464">
        <f>+IF($I271=AU$10,IF($L271=AU$11,#REF!,0),0)</f>
        <v>0</v>
      </c>
      <c r="AV271" s="464">
        <f>+IF($I271=AV$10,IF($L271=AV$11,#REF!,0),0)</f>
        <v>0</v>
      </c>
      <c r="AW271" s="464">
        <f>+IF($I271=AW$10,IF($L271=AW$11,#REF!,0),0)</f>
        <v>0</v>
      </c>
      <c r="AX271" s="465">
        <f>+IF($I271=AX$10,IF($L271=AX$11,#REF!,0),0)</f>
        <v>0</v>
      </c>
      <c r="AY271" s="463">
        <f>+IF($I271=AY$10,IF($L271=AY$11,#REF!,0),0)</f>
        <v>0</v>
      </c>
      <c r="AZ271" s="464">
        <f>+IF($I271=AZ$10,IF($L271=AZ$11,#REF!,0),0)</f>
        <v>0</v>
      </c>
      <c r="BA271" s="464">
        <f>+IF($I271=BA$10,IF($L271=BA$11,#REF!,0),0)</f>
        <v>0</v>
      </c>
      <c r="BB271" s="464">
        <v>1</v>
      </c>
      <c r="BC271" s="464">
        <f>+IF($I271=BC$10,IF($L271=BC$11,#REF!,0),0)</f>
        <v>0</v>
      </c>
      <c r="BD271" s="465">
        <f>+IF($I271=BD$10,IF($L271=BD$11,#REF!,0),0)</f>
        <v>0</v>
      </c>
      <c r="BE271" s="463">
        <f>+IF($I271=BE$10,IF($L271=BE$11,#REF!,0),0)</f>
        <v>0</v>
      </c>
      <c r="BF271" s="464">
        <f>+IF($I271=BF$10,IF($L271=BF$11,#REF!,0),0)</f>
        <v>0</v>
      </c>
      <c r="BG271" s="464">
        <f>+IF($I271=BG$10,IF($L271=BG$11,#REF!,0),0)</f>
        <v>0</v>
      </c>
      <c r="BH271" s="464">
        <f>+IF($I271=BH$10,IF($L271=BH$11,#REF!,0),0)</f>
        <v>0</v>
      </c>
      <c r="BI271" s="464">
        <f>+IF($I271=BI$10,IF($L271=BI$11,#REF!,0),0)</f>
        <v>0</v>
      </c>
      <c r="BJ271" s="466">
        <f>+IF($I271=BJ$10,IF($L271=BJ$11,#REF!,0),0)</f>
        <v>0</v>
      </c>
    </row>
    <row r="272" spans="5:62" s="467" customFormat="1" ht="16.5" hidden="1" customHeight="1">
      <c r="E272" s="454" t="s">
        <v>1217</v>
      </c>
      <c r="F272" s="455"/>
      <c r="G272" s="456"/>
      <c r="H272" s="457" t="str">
        <f t="shared" ref="H272:H273" si="65">+CONCATENATE(F272,"-",G272)</f>
        <v>-</v>
      </c>
      <c r="I272" s="458" t="str">
        <f t="shared" si="47"/>
        <v>POSTE DE ALUMBRADO</v>
      </c>
      <c r="J272" s="566"/>
      <c r="K272" s="459" t="s">
        <v>1204</v>
      </c>
      <c r="L272" s="460" t="s">
        <v>1191</v>
      </c>
      <c r="M272" s="463">
        <f t="shared" ref="M272:AB273" si="66">+IF($L272=M$10,IF($K272=M$11,1,0),0)</f>
        <v>0</v>
      </c>
      <c r="N272" s="463">
        <f t="shared" si="66"/>
        <v>0</v>
      </c>
      <c r="O272" s="463">
        <f t="shared" si="66"/>
        <v>0</v>
      </c>
      <c r="P272" s="463">
        <f t="shared" si="66"/>
        <v>0</v>
      </c>
      <c r="Q272" s="463">
        <f t="shared" si="66"/>
        <v>0</v>
      </c>
      <c r="R272" s="463">
        <f t="shared" si="66"/>
        <v>0</v>
      </c>
      <c r="S272" s="463">
        <f t="shared" si="66"/>
        <v>0</v>
      </c>
      <c r="T272" s="463">
        <f t="shared" si="66"/>
        <v>0</v>
      </c>
      <c r="U272" s="463">
        <f t="shared" si="66"/>
        <v>0</v>
      </c>
      <c r="V272" s="463">
        <f t="shared" si="66"/>
        <v>0</v>
      </c>
      <c r="W272" s="463">
        <f t="shared" si="66"/>
        <v>0</v>
      </c>
      <c r="X272" s="463">
        <f t="shared" si="66"/>
        <v>0</v>
      </c>
      <c r="Y272" s="463">
        <f t="shared" si="66"/>
        <v>0</v>
      </c>
      <c r="Z272" s="463">
        <f t="shared" si="66"/>
        <v>0</v>
      </c>
      <c r="AA272" s="463">
        <f t="shared" si="66"/>
        <v>0</v>
      </c>
      <c r="AB272" s="463">
        <f t="shared" si="66"/>
        <v>1</v>
      </c>
      <c r="AC272" s="463">
        <f t="shared" ref="X272:AF273" si="67">+IF($L272=AC$10,IF($K272=AC$11,1,0),0)</f>
        <v>0</v>
      </c>
      <c r="AD272" s="463">
        <f t="shared" si="67"/>
        <v>0</v>
      </c>
      <c r="AE272" s="463">
        <f t="shared" si="67"/>
        <v>0</v>
      </c>
      <c r="AF272" s="621">
        <f t="shared" si="67"/>
        <v>0</v>
      </c>
      <c r="AG272" s="573"/>
      <c r="AH272" s="464"/>
      <c r="AI272" s="464"/>
      <c r="AJ272" s="464"/>
      <c r="AK272" s="464"/>
      <c r="AL272" s="465">
        <f>+IF($I272=AL$10,IF($L272=AL$11,#REF!,0),0)</f>
        <v>0</v>
      </c>
      <c r="AM272" s="463">
        <f>+IF($I272=AM$10,IF($L272=AM$11,#REF!,0),0)</f>
        <v>0</v>
      </c>
      <c r="AN272" s="464">
        <f>+IF($I272=AN$10,IF($L272=AN$11,#REF!,0),0)</f>
        <v>0</v>
      </c>
      <c r="AO272" s="464">
        <f>+IF($I272=AO$10,IF($L272=AO$11,#REF!,0),0)</f>
        <v>0</v>
      </c>
      <c r="AP272" s="464">
        <f>+IF($I272=AP$10,IF($L272=AP$11,#REF!,0),0)</f>
        <v>0</v>
      </c>
      <c r="AQ272" s="464">
        <f>+IF($I272=AQ$10,IF($L272=AQ$11,#REF!,0),0)</f>
        <v>0</v>
      </c>
      <c r="AR272" s="465">
        <f>+IF($I272=AR$10,IF($L272=AR$11,#REF!,0),0)</f>
        <v>0</v>
      </c>
      <c r="AS272" s="463">
        <f>+IF($I272=AS$10,IF($L272=AS$11,#REF!,0),0)</f>
        <v>0</v>
      </c>
      <c r="AT272" s="464">
        <f>+IF($I272=AT$10,IF($L272=AT$11,#REF!,0),0)</f>
        <v>0</v>
      </c>
      <c r="AU272" s="464">
        <f>+IF($I272=AU$10,IF($L272=AU$11,#REF!,0),0)</f>
        <v>0</v>
      </c>
      <c r="AV272" s="464">
        <f>+IF($I272=AV$10,IF($L272=AV$11,#REF!,0),0)</f>
        <v>0</v>
      </c>
      <c r="AW272" s="464">
        <f>+IF($I272=AW$10,IF($L272=AW$11,#REF!,0),0)</f>
        <v>0</v>
      </c>
      <c r="AX272" s="465">
        <f>+IF($I272=AX$10,IF($L272=AX$11,#REF!,0),0)</f>
        <v>0</v>
      </c>
      <c r="AY272" s="463">
        <f>+IF($I272=AY$10,IF($L272=AY$11,#REF!,0),0)</f>
        <v>0</v>
      </c>
      <c r="AZ272" s="464">
        <f>+IF($I272=AZ$10,IF($L272=AZ$11,#REF!,0),0)</f>
        <v>0</v>
      </c>
      <c r="BA272" s="464">
        <v>1</v>
      </c>
      <c r="BB272" s="464">
        <f>+IF($I272=BB$10,IF($L272=BB$11,#REF!,0),0)</f>
        <v>0</v>
      </c>
      <c r="BC272" s="464">
        <f>+IF($I272=BC$10,IF($L272=BC$11,#REF!,0),0)</f>
        <v>0</v>
      </c>
      <c r="BD272" s="465">
        <f>+IF($I272=BD$10,IF($L272=BD$11,#REF!,0),0)</f>
        <v>0</v>
      </c>
      <c r="BE272" s="463">
        <f>+IF($I272=BE$10,IF($L272=BE$11,#REF!,0),0)</f>
        <v>0</v>
      </c>
      <c r="BF272" s="464">
        <f>+IF($I272=BF$10,IF($L272=BF$11,#REF!,0),0)</f>
        <v>0</v>
      </c>
      <c r="BG272" s="464">
        <f>+IF($I272=BG$10,IF($L272=BG$11,#REF!,0),0)</f>
        <v>0</v>
      </c>
      <c r="BH272" s="464">
        <f>+IF($I272=BH$10,IF($L272=BH$11,#REF!,0),0)</f>
        <v>0</v>
      </c>
      <c r="BI272" s="464">
        <f>+IF($I272=BI$10,IF($L272=BI$11,#REF!,0),0)</f>
        <v>0</v>
      </c>
      <c r="BJ272" s="466">
        <f>+IF($I272=BJ$10,IF($L272=BJ$11,#REF!,0),0)</f>
        <v>0</v>
      </c>
    </row>
    <row r="273" spans="5:62" s="467" customFormat="1" ht="16.5" hidden="1" customHeight="1">
      <c r="E273" s="454" t="s">
        <v>1217</v>
      </c>
      <c r="F273" s="455"/>
      <c r="G273" s="456"/>
      <c r="H273" s="457" t="str">
        <f t="shared" si="65"/>
        <v>-</v>
      </c>
      <c r="I273" s="458" t="str">
        <f t="shared" si="47"/>
        <v>POSTE DE ALUMBRADO</v>
      </c>
      <c r="J273" s="566"/>
      <c r="K273" s="459" t="s">
        <v>1204</v>
      </c>
      <c r="L273" s="460" t="s">
        <v>1191</v>
      </c>
      <c r="M273" s="463">
        <f t="shared" si="66"/>
        <v>0</v>
      </c>
      <c r="N273" s="463">
        <f t="shared" si="66"/>
        <v>0</v>
      </c>
      <c r="O273" s="463">
        <f t="shared" si="66"/>
        <v>0</v>
      </c>
      <c r="P273" s="463">
        <f t="shared" si="66"/>
        <v>0</v>
      </c>
      <c r="Q273" s="463">
        <f t="shared" si="66"/>
        <v>0</v>
      </c>
      <c r="R273" s="463">
        <f t="shared" si="66"/>
        <v>0</v>
      </c>
      <c r="S273" s="463">
        <f t="shared" si="66"/>
        <v>0</v>
      </c>
      <c r="T273" s="463">
        <f t="shared" si="66"/>
        <v>0</v>
      </c>
      <c r="U273" s="463">
        <f t="shared" si="66"/>
        <v>0</v>
      </c>
      <c r="V273" s="463">
        <f t="shared" si="66"/>
        <v>0</v>
      </c>
      <c r="W273" s="463">
        <f t="shared" si="66"/>
        <v>0</v>
      </c>
      <c r="X273" s="463">
        <f t="shared" si="67"/>
        <v>0</v>
      </c>
      <c r="Y273" s="463">
        <f t="shared" si="67"/>
        <v>0</v>
      </c>
      <c r="Z273" s="463">
        <f t="shared" si="67"/>
        <v>0</v>
      </c>
      <c r="AA273" s="463">
        <f t="shared" si="67"/>
        <v>0</v>
      </c>
      <c r="AB273" s="463">
        <f t="shared" si="67"/>
        <v>1</v>
      </c>
      <c r="AC273" s="463">
        <f t="shared" si="67"/>
        <v>0</v>
      </c>
      <c r="AD273" s="463">
        <f t="shared" si="67"/>
        <v>0</v>
      </c>
      <c r="AE273" s="463">
        <f t="shared" si="67"/>
        <v>0</v>
      </c>
      <c r="AF273" s="621">
        <f t="shared" si="67"/>
        <v>0</v>
      </c>
      <c r="AG273" s="573"/>
      <c r="AH273" s="464"/>
      <c r="AI273" s="464"/>
      <c r="AJ273" s="464"/>
      <c r="AK273" s="464"/>
      <c r="AL273" s="465">
        <f>+IF($I273=AL$10,IF($L273=AL$11,#REF!,0),0)</f>
        <v>0</v>
      </c>
      <c r="AM273" s="463">
        <f>+IF($I273=AM$10,IF($L273=AM$11,#REF!,0),0)</f>
        <v>0</v>
      </c>
      <c r="AN273" s="464">
        <f>+IF($I273=AN$10,IF($L273=AN$11,#REF!,0),0)</f>
        <v>0</v>
      </c>
      <c r="AO273" s="464">
        <f>+IF($I273=AO$10,IF($L273=AO$11,#REF!,0),0)</f>
        <v>0</v>
      </c>
      <c r="AP273" s="464">
        <f>+IF($I273=AP$10,IF($L273=AP$11,#REF!,0),0)</f>
        <v>0</v>
      </c>
      <c r="AQ273" s="464">
        <f>+IF($I273=AQ$10,IF($L273=AQ$11,#REF!,0),0)</f>
        <v>0</v>
      </c>
      <c r="AR273" s="465">
        <f>+IF($I273=AR$10,IF($L273=AR$11,#REF!,0),0)</f>
        <v>0</v>
      </c>
      <c r="AS273" s="463">
        <f>+IF($I273=AS$10,IF($L273=AS$11,#REF!,0),0)</f>
        <v>0</v>
      </c>
      <c r="AT273" s="464">
        <f>+IF($I273=AT$10,IF($L273=AT$11,#REF!,0),0)</f>
        <v>0</v>
      </c>
      <c r="AU273" s="464">
        <f>+IF($I273=AU$10,IF($L273=AU$11,#REF!,0),0)</f>
        <v>0</v>
      </c>
      <c r="AV273" s="464">
        <f>+IF($I273=AV$10,IF($L273=AV$11,#REF!,0),0)</f>
        <v>0</v>
      </c>
      <c r="AW273" s="464">
        <f>+IF($I273=AW$10,IF($L273=AW$11,#REF!,0),0)</f>
        <v>0</v>
      </c>
      <c r="AX273" s="465">
        <f>+IF($I273=AX$10,IF($L273=AX$11,#REF!,0),0)</f>
        <v>0</v>
      </c>
      <c r="AY273" s="463">
        <f>+IF($I273=AY$10,IF($L273=AY$11,#REF!,0),0)</f>
        <v>0</v>
      </c>
      <c r="AZ273" s="464">
        <f>+IF($I273=AZ$10,IF($L273=AZ$11,#REF!,0),0)</f>
        <v>0</v>
      </c>
      <c r="BA273" s="464">
        <f>+IF($I273=BA$10,IF($L273=BA$11,#REF!,0),0)</f>
        <v>0</v>
      </c>
      <c r="BB273" s="464">
        <v>1</v>
      </c>
      <c r="BC273" s="464">
        <f>+IF($I273=BC$10,IF($L273=BC$11,#REF!,0),0)</f>
        <v>0</v>
      </c>
      <c r="BD273" s="465">
        <f>+IF($I273=BD$10,IF($L273=BD$11,#REF!,0),0)</f>
        <v>0</v>
      </c>
      <c r="BE273" s="463">
        <f>+IF($I273=BE$10,IF($L273=BE$11,#REF!,0),0)</f>
        <v>0</v>
      </c>
      <c r="BF273" s="464">
        <f>+IF($I273=BF$10,IF($L273=BF$11,#REF!,0),0)</f>
        <v>0</v>
      </c>
      <c r="BG273" s="464">
        <f>+IF($I273=BG$10,IF($L273=BG$11,#REF!,0),0)</f>
        <v>0</v>
      </c>
      <c r="BH273" s="464">
        <f>+IF($I273=BH$10,IF($L273=BH$11,#REF!,0),0)</f>
        <v>0</v>
      </c>
      <c r="BI273" s="464">
        <f>+IF($I273=BI$10,IF($L273=BI$11,#REF!,0),0)</f>
        <v>0</v>
      </c>
      <c r="BJ273" s="466">
        <f>+IF($I273=BJ$10,IF($L273=BJ$11,#REF!,0),0)</f>
        <v>0</v>
      </c>
    </row>
    <row r="274" spans="5:62" s="467" customFormat="1" ht="16.5" hidden="1" customHeight="1">
      <c r="E274" s="454" t="s">
        <v>1217</v>
      </c>
      <c r="F274" s="455"/>
      <c r="G274" s="456"/>
      <c r="H274" s="457" t="str">
        <f t="shared" si="16"/>
        <v>-</v>
      </c>
      <c r="I274" s="458" t="str">
        <f t="shared" si="47"/>
        <v>POSTE DE ALUMBRADO</v>
      </c>
      <c r="J274" s="566"/>
      <c r="K274" s="459" t="s">
        <v>1204</v>
      </c>
      <c r="L274" s="460" t="s">
        <v>1191</v>
      </c>
      <c r="M274" s="463">
        <f t="shared" si="33"/>
        <v>0</v>
      </c>
      <c r="N274" s="463">
        <f t="shared" si="33"/>
        <v>0</v>
      </c>
      <c r="O274" s="463">
        <f t="shared" si="33"/>
        <v>0</v>
      </c>
      <c r="P274" s="463">
        <f t="shared" si="33"/>
        <v>0</v>
      </c>
      <c r="Q274" s="463">
        <f t="shared" si="33"/>
        <v>0</v>
      </c>
      <c r="R274" s="463">
        <f t="shared" si="33"/>
        <v>0</v>
      </c>
      <c r="S274" s="463">
        <f t="shared" si="33"/>
        <v>0</v>
      </c>
      <c r="T274" s="463">
        <f t="shared" si="33"/>
        <v>0</v>
      </c>
      <c r="U274" s="463">
        <f t="shared" si="33"/>
        <v>0</v>
      </c>
      <c r="V274" s="463">
        <f t="shared" si="33"/>
        <v>0</v>
      </c>
      <c r="W274" s="463">
        <f t="shared" si="33"/>
        <v>0</v>
      </c>
      <c r="X274" s="463">
        <f t="shared" si="34"/>
        <v>0</v>
      </c>
      <c r="Y274" s="463">
        <f t="shared" si="34"/>
        <v>0</v>
      </c>
      <c r="Z274" s="463">
        <f t="shared" si="34"/>
        <v>0</v>
      </c>
      <c r="AA274" s="463">
        <f t="shared" si="34"/>
        <v>0</v>
      </c>
      <c r="AB274" s="463">
        <f t="shared" si="34"/>
        <v>1</v>
      </c>
      <c r="AC274" s="463">
        <f t="shared" si="34"/>
        <v>0</v>
      </c>
      <c r="AD274" s="463">
        <f t="shared" si="34"/>
        <v>0</v>
      </c>
      <c r="AE274" s="463">
        <f t="shared" si="34"/>
        <v>0</v>
      </c>
      <c r="AF274" s="621">
        <f t="shared" si="34"/>
        <v>0</v>
      </c>
      <c r="AG274" s="573"/>
      <c r="AH274" s="464"/>
      <c r="AI274" s="464"/>
      <c r="AJ274" s="464"/>
      <c r="AK274" s="464"/>
      <c r="AL274" s="465">
        <f>+IF($I274=AL$10,IF($L274=AL$11,#REF!,0),0)</f>
        <v>0</v>
      </c>
      <c r="AM274" s="463">
        <f>+IF($I274=AM$10,IF($L274=AM$11,#REF!,0),0)</f>
        <v>0</v>
      </c>
      <c r="AN274" s="464">
        <f>+IF($I274=AN$10,IF($L274=AN$11,#REF!,0),0)</f>
        <v>0</v>
      </c>
      <c r="AO274" s="464">
        <f>+IF($I274=AO$10,IF($L274=AO$11,#REF!,0),0)</f>
        <v>0</v>
      </c>
      <c r="AP274" s="464">
        <f>+IF($I274=AP$10,IF($L274=AP$11,#REF!,0),0)</f>
        <v>0</v>
      </c>
      <c r="AQ274" s="464">
        <f>+IF($I274=AQ$10,IF($L274=AQ$11,#REF!,0),0)</f>
        <v>0</v>
      </c>
      <c r="AR274" s="465">
        <f>+IF($I274=AR$10,IF($L274=AR$11,#REF!,0),0)</f>
        <v>0</v>
      </c>
      <c r="AS274" s="463">
        <f>+IF($I274=AS$10,IF($L274=AS$11,#REF!,0),0)</f>
        <v>0</v>
      </c>
      <c r="AT274" s="464">
        <f>+IF($I274=AT$10,IF($L274=AT$11,#REF!,0),0)</f>
        <v>0</v>
      </c>
      <c r="AU274" s="464">
        <f>+IF($I274=AU$10,IF($L274=AU$11,#REF!,0),0)</f>
        <v>0</v>
      </c>
      <c r="AV274" s="464">
        <f>+IF($I274=AV$10,IF($L274=AV$11,#REF!,0),0)</f>
        <v>0</v>
      </c>
      <c r="AW274" s="464">
        <f>+IF($I274=AW$10,IF($L274=AW$11,#REF!,0),0)</f>
        <v>0</v>
      </c>
      <c r="AX274" s="465">
        <f>+IF($I274=AX$10,IF($L274=AX$11,#REF!,0),0)</f>
        <v>0</v>
      </c>
      <c r="AY274" s="463">
        <f>+IF($I274=AY$10,IF($L274=AY$11,#REF!,0),0)</f>
        <v>0</v>
      </c>
      <c r="AZ274" s="464">
        <f>+IF($I274=AZ$10,IF($L274=AZ$11,#REF!,0),0)</f>
        <v>0</v>
      </c>
      <c r="BA274" s="464">
        <v>1</v>
      </c>
      <c r="BB274" s="464">
        <f>+IF($I274=BB$10,IF($L274=BB$11,#REF!,0),0)</f>
        <v>0</v>
      </c>
      <c r="BC274" s="464">
        <f>+IF($I274=BC$10,IF($L274=BC$11,#REF!,0),0)</f>
        <v>0</v>
      </c>
      <c r="BD274" s="465">
        <f>+IF($I274=BD$10,IF($L274=BD$11,#REF!,0),0)</f>
        <v>0</v>
      </c>
      <c r="BE274" s="463">
        <f>+IF($I274=BE$10,IF($L274=BE$11,#REF!,0),0)</f>
        <v>0</v>
      </c>
      <c r="BF274" s="464">
        <f>+IF($I274=BF$10,IF($L274=BF$11,#REF!,0),0)</f>
        <v>0</v>
      </c>
      <c r="BG274" s="464">
        <f>+IF($I274=BG$10,IF($L274=BG$11,#REF!,0),0)</f>
        <v>0</v>
      </c>
      <c r="BH274" s="464">
        <f>+IF($I274=BH$10,IF($L274=BH$11,#REF!,0),0)</f>
        <v>0</v>
      </c>
      <c r="BI274" s="464">
        <f>+IF($I274=BI$10,IF($L274=BI$11,#REF!,0),0)</f>
        <v>0</v>
      </c>
      <c r="BJ274" s="466">
        <f>+IF($I274=BJ$10,IF($L274=BJ$11,#REF!,0),0)</f>
        <v>0</v>
      </c>
    </row>
    <row r="275" spans="5:62" s="467" customFormat="1" ht="16.5" hidden="1" customHeight="1">
      <c r="E275" s="454" t="s">
        <v>1217</v>
      </c>
      <c r="F275" s="455"/>
      <c r="G275" s="456"/>
      <c r="H275" s="457" t="str">
        <f t="shared" si="16"/>
        <v>-</v>
      </c>
      <c r="I275" s="458" t="str">
        <f t="shared" si="47"/>
        <v>POSTE DE MEDIA TENSIÓN</v>
      </c>
      <c r="J275" s="566"/>
      <c r="K275" s="459" t="s">
        <v>1206</v>
      </c>
      <c r="L275" s="460" t="s">
        <v>1191</v>
      </c>
      <c r="M275" s="463">
        <f t="shared" si="33"/>
        <v>0</v>
      </c>
      <c r="N275" s="463">
        <f t="shared" si="33"/>
        <v>0</v>
      </c>
      <c r="O275" s="463">
        <f t="shared" si="33"/>
        <v>0</v>
      </c>
      <c r="P275" s="463">
        <f t="shared" si="33"/>
        <v>0</v>
      </c>
      <c r="Q275" s="463">
        <f t="shared" si="33"/>
        <v>0</v>
      </c>
      <c r="R275" s="463">
        <f t="shared" si="33"/>
        <v>0</v>
      </c>
      <c r="S275" s="463">
        <f t="shared" si="33"/>
        <v>0</v>
      </c>
      <c r="T275" s="463">
        <f t="shared" si="33"/>
        <v>0</v>
      </c>
      <c r="U275" s="463">
        <f t="shared" si="33"/>
        <v>0</v>
      </c>
      <c r="V275" s="463">
        <f t="shared" si="33"/>
        <v>0</v>
      </c>
      <c r="W275" s="463">
        <f t="shared" si="33"/>
        <v>0</v>
      </c>
      <c r="X275" s="463">
        <f t="shared" si="34"/>
        <v>0</v>
      </c>
      <c r="Y275" s="463">
        <f t="shared" si="34"/>
        <v>0</v>
      </c>
      <c r="Z275" s="463">
        <f t="shared" si="34"/>
        <v>0</v>
      </c>
      <c r="AA275" s="463">
        <f t="shared" si="34"/>
        <v>0</v>
      </c>
      <c r="AB275" s="463">
        <f t="shared" si="34"/>
        <v>0</v>
      </c>
      <c r="AC275" s="463">
        <f t="shared" si="34"/>
        <v>0</v>
      </c>
      <c r="AD275" s="463">
        <f t="shared" si="34"/>
        <v>1</v>
      </c>
      <c r="AE275" s="463">
        <f t="shared" si="34"/>
        <v>0</v>
      </c>
      <c r="AF275" s="621">
        <f t="shared" si="34"/>
        <v>0</v>
      </c>
      <c r="AG275" s="573"/>
      <c r="AH275" s="464"/>
      <c r="AI275" s="464"/>
      <c r="AJ275" s="464"/>
      <c r="AK275" s="464"/>
      <c r="AL275" s="465">
        <f>+IF($I275=AL$10,IF($L275=AL$11,#REF!,0),0)</f>
        <v>0</v>
      </c>
      <c r="AM275" s="463">
        <f>+IF($I275=AM$10,IF($L275=AM$11,#REF!,0),0)</f>
        <v>0</v>
      </c>
      <c r="AN275" s="464">
        <f>+IF($I275=AN$10,IF($L275=AN$11,#REF!,0),0)</f>
        <v>0</v>
      </c>
      <c r="AO275" s="464">
        <f>+IF($I275=AO$10,IF($L275=AO$11,#REF!,0),0)</f>
        <v>0</v>
      </c>
      <c r="AP275" s="464">
        <f>+IF($I275=AP$10,IF($L275=AP$11,#REF!,0),0)</f>
        <v>0</v>
      </c>
      <c r="AQ275" s="464">
        <f>+IF($I275=AQ$10,IF($L275=AQ$11,#REF!,0),0)</f>
        <v>0</v>
      </c>
      <c r="AR275" s="465">
        <f>+IF($I275=AR$10,IF($L275=AR$11,#REF!,0),0)</f>
        <v>0</v>
      </c>
      <c r="AS275" s="463">
        <f>+IF($I275=AS$10,IF($L275=AS$11,#REF!,0),0)</f>
        <v>0</v>
      </c>
      <c r="AT275" s="464">
        <f>+IF($I275=AT$10,IF($L275=AT$11,#REF!,0),0)</f>
        <v>0</v>
      </c>
      <c r="AU275" s="464">
        <f>+IF($I275=AU$10,IF($L275=AU$11,#REF!,0),0)</f>
        <v>0</v>
      </c>
      <c r="AV275" s="464">
        <f>+IF($I275=AV$10,IF($L275=AV$11,#REF!,0),0)</f>
        <v>0</v>
      </c>
      <c r="AW275" s="464">
        <f>+IF($I275=AW$10,IF($L275=AW$11,#REF!,0),0)</f>
        <v>0</v>
      </c>
      <c r="AX275" s="465">
        <f>+IF($I275=AX$10,IF($L275=AX$11,#REF!,0),0)</f>
        <v>0</v>
      </c>
      <c r="AY275" s="463">
        <f>+IF($I275=AY$10,IF($L275=AY$11,#REF!,0),0)</f>
        <v>0</v>
      </c>
      <c r="AZ275" s="464">
        <f>+IF($I275=AZ$10,IF($L275=AZ$11,#REF!,0),0)</f>
        <v>0</v>
      </c>
      <c r="BA275" s="464">
        <f>+IF($I275=BA$10,IF($L275=BA$11,#REF!,0),0)</f>
        <v>0</v>
      </c>
      <c r="BB275" s="464">
        <v>1</v>
      </c>
      <c r="BC275" s="464">
        <f>+IF($I275=BC$10,IF($L275=BC$11,#REF!,0),0)</f>
        <v>0</v>
      </c>
      <c r="BD275" s="465">
        <f>+IF($I275=BD$10,IF($L275=BD$11,#REF!,0),0)</f>
        <v>0</v>
      </c>
      <c r="BE275" s="463">
        <f>+IF($I275=BE$10,IF($L275=BE$11,#REF!,0),0)</f>
        <v>0</v>
      </c>
      <c r="BF275" s="464">
        <f>+IF($I275=BF$10,IF($L275=BF$11,#REF!,0),0)</f>
        <v>0</v>
      </c>
      <c r="BG275" s="464">
        <f>+IF($I275=BG$10,IF($L275=BG$11,#REF!,0),0)</f>
        <v>0</v>
      </c>
      <c r="BH275" s="464">
        <f>+IF($I275=BH$10,IF($L275=BH$11,#REF!,0),0)</f>
        <v>0</v>
      </c>
      <c r="BI275" s="464">
        <f>+IF($I275=BI$10,IF($L275=BI$11,#REF!,0),0)</f>
        <v>0</v>
      </c>
      <c r="BJ275" s="466">
        <f>+IF($I275=BJ$10,IF($L275=BJ$11,#REF!,0),0)</f>
        <v>0</v>
      </c>
    </row>
    <row r="276" spans="5:62" s="467" customFormat="1" ht="16.5" hidden="1" customHeight="1">
      <c r="E276" s="454" t="s">
        <v>1217</v>
      </c>
      <c r="F276" s="455"/>
      <c r="G276" s="456"/>
      <c r="H276" s="457" t="str">
        <f t="shared" ref="H276:H298" si="68">+CONCATENATE(F276,"-",G276)</f>
        <v>-</v>
      </c>
      <c r="I276" s="458" t="str">
        <f t="shared" si="47"/>
        <v>POSTE DE ALUMBRADO</v>
      </c>
      <c r="J276" s="566"/>
      <c r="K276" s="571" t="s">
        <v>1204</v>
      </c>
      <c r="L276" s="460" t="s">
        <v>1191</v>
      </c>
      <c r="M276" s="463">
        <f t="shared" ref="M276:AB293" si="69">+IF($L276=M$10,IF($K276=M$11,1,0),0)</f>
        <v>0</v>
      </c>
      <c r="N276" s="463">
        <f t="shared" si="69"/>
        <v>0</v>
      </c>
      <c r="O276" s="463">
        <f t="shared" si="69"/>
        <v>0</v>
      </c>
      <c r="P276" s="463">
        <f t="shared" si="69"/>
        <v>0</v>
      </c>
      <c r="Q276" s="463">
        <f t="shared" si="69"/>
        <v>0</v>
      </c>
      <c r="R276" s="463">
        <f t="shared" si="69"/>
        <v>0</v>
      </c>
      <c r="S276" s="463">
        <f t="shared" si="69"/>
        <v>0</v>
      </c>
      <c r="T276" s="463">
        <f t="shared" si="69"/>
        <v>0</v>
      </c>
      <c r="U276" s="463">
        <f t="shared" si="69"/>
        <v>0</v>
      </c>
      <c r="V276" s="463">
        <f t="shared" si="69"/>
        <v>0</v>
      </c>
      <c r="W276" s="463">
        <f t="shared" si="69"/>
        <v>0</v>
      </c>
      <c r="X276" s="463">
        <f t="shared" si="69"/>
        <v>0</v>
      </c>
      <c r="Y276" s="463">
        <f t="shared" si="69"/>
        <v>0</v>
      </c>
      <c r="Z276" s="463">
        <f t="shared" si="69"/>
        <v>0</v>
      </c>
      <c r="AA276" s="463">
        <f t="shared" si="69"/>
        <v>0</v>
      </c>
      <c r="AB276" s="463">
        <f t="shared" si="69"/>
        <v>1</v>
      </c>
      <c r="AC276" s="463">
        <f t="shared" ref="X276:AF293" si="70">+IF($L276=AC$10,IF($K276=AC$11,1,0),0)</f>
        <v>0</v>
      </c>
      <c r="AD276" s="463">
        <f t="shared" si="70"/>
        <v>0</v>
      </c>
      <c r="AE276" s="463">
        <f t="shared" si="70"/>
        <v>0</v>
      </c>
      <c r="AF276" s="621">
        <f t="shared" si="70"/>
        <v>0</v>
      </c>
      <c r="AG276" s="573"/>
      <c r="AH276" s="464"/>
      <c r="AI276" s="464"/>
      <c r="AJ276" s="464"/>
      <c r="AK276" s="464"/>
      <c r="AL276" s="465"/>
      <c r="AM276" s="463"/>
      <c r="AN276" s="464"/>
      <c r="AO276" s="464"/>
      <c r="AP276" s="464"/>
      <c r="AQ276" s="464"/>
      <c r="AR276" s="465"/>
      <c r="AS276" s="463"/>
      <c r="AT276" s="464"/>
      <c r="AU276" s="464"/>
      <c r="AV276" s="464"/>
      <c r="AW276" s="464"/>
      <c r="AX276" s="465"/>
      <c r="AY276" s="463"/>
      <c r="AZ276" s="464"/>
      <c r="BA276" s="464"/>
      <c r="BB276" s="464"/>
      <c r="BC276" s="464"/>
      <c r="BD276" s="465"/>
      <c r="BE276" s="463"/>
      <c r="BF276" s="464"/>
      <c r="BG276" s="464"/>
      <c r="BH276" s="464">
        <f>+IF($I276=BH$10,IF($L276=BH$11,#REF!,0),0)</f>
        <v>0</v>
      </c>
      <c r="BI276" s="464">
        <f>+IF($I276=BI$10,IF($L276=BI$11,#REF!,0),0)</f>
        <v>0</v>
      </c>
      <c r="BJ276" s="466">
        <f>+IF($I276=BJ$10,IF($L276=BJ$11,#REF!,0),0)</f>
        <v>0</v>
      </c>
    </row>
    <row r="277" spans="5:62" s="467" customFormat="1" ht="16.5" hidden="1" customHeight="1">
      <c r="E277" s="454" t="s">
        <v>1217</v>
      </c>
      <c r="F277" s="455"/>
      <c r="G277" s="456"/>
      <c r="H277" s="457" t="str">
        <f t="shared" si="68"/>
        <v>-</v>
      </c>
      <c r="I277" s="458" t="str">
        <f t="shared" si="47"/>
        <v>POSTE DE MEDIA TENSIÓN</v>
      </c>
      <c r="J277" s="566"/>
      <c r="K277" s="459" t="s">
        <v>1206</v>
      </c>
      <c r="L277" s="460" t="s">
        <v>1191</v>
      </c>
      <c r="M277" s="463">
        <f t="shared" si="69"/>
        <v>0</v>
      </c>
      <c r="N277" s="463">
        <f t="shared" si="69"/>
        <v>0</v>
      </c>
      <c r="O277" s="463">
        <f t="shared" si="69"/>
        <v>0</v>
      </c>
      <c r="P277" s="463">
        <f t="shared" si="69"/>
        <v>0</v>
      </c>
      <c r="Q277" s="463">
        <f t="shared" si="69"/>
        <v>0</v>
      </c>
      <c r="R277" s="463">
        <f t="shared" si="69"/>
        <v>0</v>
      </c>
      <c r="S277" s="463">
        <f t="shared" si="69"/>
        <v>0</v>
      </c>
      <c r="T277" s="463">
        <f t="shared" si="69"/>
        <v>0</v>
      </c>
      <c r="U277" s="463">
        <f t="shared" si="69"/>
        <v>0</v>
      </c>
      <c r="V277" s="463">
        <f t="shared" si="69"/>
        <v>0</v>
      </c>
      <c r="W277" s="463">
        <f t="shared" si="69"/>
        <v>0</v>
      </c>
      <c r="X277" s="463">
        <f t="shared" si="70"/>
        <v>0</v>
      </c>
      <c r="Y277" s="463">
        <f t="shared" si="70"/>
        <v>0</v>
      </c>
      <c r="Z277" s="463">
        <f t="shared" si="70"/>
        <v>0</v>
      </c>
      <c r="AA277" s="463">
        <f t="shared" si="70"/>
        <v>0</v>
      </c>
      <c r="AB277" s="463">
        <f t="shared" si="70"/>
        <v>0</v>
      </c>
      <c r="AC277" s="463">
        <f t="shared" si="70"/>
        <v>0</v>
      </c>
      <c r="AD277" s="463">
        <f t="shared" si="70"/>
        <v>1</v>
      </c>
      <c r="AE277" s="463">
        <f t="shared" si="70"/>
        <v>0</v>
      </c>
      <c r="AF277" s="621">
        <f t="shared" si="70"/>
        <v>0</v>
      </c>
      <c r="AG277" s="573"/>
      <c r="AH277" s="464"/>
      <c r="AI277" s="464"/>
      <c r="AJ277" s="464"/>
      <c r="AK277" s="464"/>
      <c r="AL277" s="465">
        <f>+IF($I277=AL$10,IF($L277=AL$11,#REF!,0),0)</f>
        <v>0</v>
      </c>
      <c r="AM277" s="463">
        <f>+IF($I277=AM$10,IF($L277=AM$11,#REF!,0),0)</f>
        <v>0</v>
      </c>
      <c r="AN277" s="464">
        <f>+IF($I277=AN$10,IF($L277=AN$11,#REF!,0),0)</f>
        <v>0</v>
      </c>
      <c r="AO277" s="464">
        <f>+IF($I277=AO$10,IF($L277=AO$11,#REF!,0),0)</f>
        <v>0</v>
      </c>
      <c r="AP277" s="464">
        <f>+IF($I277=AP$10,IF($L277=AP$11,#REF!,0),0)</f>
        <v>0</v>
      </c>
      <c r="AQ277" s="464">
        <f>+IF($I277=AQ$10,IF($L277=AQ$11,#REF!,0),0)</f>
        <v>0</v>
      </c>
      <c r="AR277" s="465">
        <f>+IF($I277=AR$10,IF($L277=AR$11,#REF!,0),0)</f>
        <v>0</v>
      </c>
      <c r="AS277" s="463">
        <f>+IF($I277=AS$10,IF($L277=AS$11,#REF!,0),0)</f>
        <v>0</v>
      </c>
      <c r="AT277" s="464">
        <f>+IF($I277=AT$10,IF($L277=AT$11,#REF!,0),0)</f>
        <v>0</v>
      </c>
      <c r="AU277" s="464">
        <f>+IF($I277=AU$10,IF($L277=AU$11,#REF!,0),0)</f>
        <v>0</v>
      </c>
      <c r="AV277" s="464">
        <f>+IF($I277=AV$10,IF($L277=AV$11,#REF!,0),0)</f>
        <v>0</v>
      </c>
      <c r="AW277" s="464">
        <f>+IF($I277=AW$10,IF($L277=AW$11,#REF!,0),0)</f>
        <v>0</v>
      </c>
      <c r="AX277" s="465">
        <f>+IF($I277=AX$10,IF($L277=AX$11,#REF!,0),0)</f>
        <v>0</v>
      </c>
      <c r="AY277" s="463">
        <f>+IF($I277=AY$10,IF($L277=AY$11,#REF!,0),0)</f>
        <v>0</v>
      </c>
      <c r="AZ277" s="464">
        <f>+IF($I277=AZ$10,IF($L277=AZ$11,#REF!,0),0)</f>
        <v>0</v>
      </c>
      <c r="BA277" s="464">
        <f>+IF($I277=BA$10,IF($L277=BA$11,#REF!,0),0)</f>
        <v>0</v>
      </c>
      <c r="BB277" s="464">
        <f>+IF($I277=BB$10,IF($L277=BB$11,#REF!,0),0)</f>
        <v>0</v>
      </c>
      <c r="BC277" s="464">
        <f>+IF($I277=BC$10,IF($L277=BC$11,#REF!,0),0)</f>
        <v>0</v>
      </c>
      <c r="BD277" s="465">
        <f>+IF($I277=BD$10,IF($L277=BD$11,#REF!,0),0)</f>
        <v>0</v>
      </c>
      <c r="BE277" s="463">
        <f>+IF($I277=BE$10,IF($L277=BE$11,#REF!,0),0)</f>
        <v>0</v>
      </c>
      <c r="BF277" s="464">
        <f>+IF($I277=BF$10,IF($L277=BF$11,#REF!,0),0)</f>
        <v>0</v>
      </c>
      <c r="BG277" s="464">
        <f>+IF($I277=BG$10,IF($L277=BG$11,#REF!,0),0)</f>
        <v>0</v>
      </c>
      <c r="BH277" s="464">
        <f>+IF($I277=BH$10,IF($L277=BH$11,#REF!,0),0)</f>
        <v>0</v>
      </c>
      <c r="BI277" s="464">
        <f>+IF($I277=BI$10,IF($L277=BI$11,#REF!,0),0)</f>
        <v>0</v>
      </c>
      <c r="BJ277" s="466">
        <f>+IF($I277=BJ$10,IF($L277=BJ$11,#REF!,0),0)</f>
        <v>0</v>
      </c>
    </row>
    <row r="278" spans="5:62" s="467" customFormat="1" ht="16.5" hidden="1" customHeight="1">
      <c r="E278" s="454" t="s">
        <v>1217</v>
      </c>
      <c r="F278" s="455"/>
      <c r="G278" s="456"/>
      <c r="H278" s="457" t="str">
        <f t="shared" si="68"/>
        <v>-</v>
      </c>
      <c r="I278" s="458" t="str">
        <f t="shared" si="47"/>
        <v>POSTE DE MEDIA TENSIÓN</v>
      </c>
      <c r="J278" s="566"/>
      <c r="K278" s="459" t="s">
        <v>1206</v>
      </c>
      <c r="L278" s="460" t="s">
        <v>1191</v>
      </c>
      <c r="M278" s="463">
        <f t="shared" si="69"/>
        <v>0</v>
      </c>
      <c r="N278" s="463">
        <f t="shared" si="69"/>
        <v>0</v>
      </c>
      <c r="O278" s="463">
        <f t="shared" si="69"/>
        <v>0</v>
      </c>
      <c r="P278" s="463">
        <f t="shared" si="69"/>
        <v>0</v>
      </c>
      <c r="Q278" s="463">
        <f t="shared" si="69"/>
        <v>0</v>
      </c>
      <c r="R278" s="463">
        <f t="shared" si="69"/>
        <v>0</v>
      </c>
      <c r="S278" s="463">
        <f t="shared" si="69"/>
        <v>0</v>
      </c>
      <c r="T278" s="463">
        <f t="shared" si="69"/>
        <v>0</v>
      </c>
      <c r="U278" s="463">
        <f t="shared" si="69"/>
        <v>0</v>
      </c>
      <c r="V278" s="463">
        <f t="shared" si="69"/>
        <v>0</v>
      </c>
      <c r="W278" s="463">
        <f t="shared" si="69"/>
        <v>0</v>
      </c>
      <c r="X278" s="463">
        <f t="shared" si="70"/>
        <v>0</v>
      </c>
      <c r="Y278" s="463">
        <f t="shared" si="70"/>
        <v>0</v>
      </c>
      <c r="Z278" s="463">
        <f t="shared" si="70"/>
        <v>0</v>
      </c>
      <c r="AA278" s="463">
        <f t="shared" si="70"/>
        <v>0</v>
      </c>
      <c r="AB278" s="463">
        <f t="shared" si="70"/>
        <v>0</v>
      </c>
      <c r="AC278" s="463">
        <f t="shared" si="70"/>
        <v>0</v>
      </c>
      <c r="AD278" s="463">
        <f t="shared" si="70"/>
        <v>1</v>
      </c>
      <c r="AE278" s="463">
        <f t="shared" si="70"/>
        <v>0</v>
      </c>
      <c r="AF278" s="621">
        <f t="shared" si="70"/>
        <v>0</v>
      </c>
      <c r="AG278" s="573"/>
      <c r="AH278" s="464"/>
      <c r="AI278" s="464"/>
      <c r="AJ278" s="464"/>
      <c r="AK278" s="464"/>
      <c r="AL278" s="465">
        <f>+IF($I278=AL$10,IF($L278=AL$11,#REF!,0),0)</f>
        <v>0</v>
      </c>
      <c r="AM278" s="463">
        <f>+IF($I278=AM$10,IF($L278=AM$11,#REF!,0),0)</f>
        <v>0</v>
      </c>
      <c r="AN278" s="464">
        <f>+IF($I278=AN$10,IF($L278=AN$11,#REF!,0),0)</f>
        <v>0</v>
      </c>
      <c r="AO278" s="464">
        <f>+IF($I278=AO$10,IF($L278=AO$11,#REF!,0),0)</f>
        <v>0</v>
      </c>
      <c r="AP278" s="464">
        <f>+IF($I278=AP$10,IF($L278=AP$11,#REF!,0),0)</f>
        <v>0</v>
      </c>
      <c r="AQ278" s="464">
        <f>+IF($I278=AQ$10,IF($L278=AQ$11,#REF!,0),0)</f>
        <v>0</v>
      </c>
      <c r="AR278" s="465">
        <f>+IF($I278=AR$10,IF($L278=AR$11,#REF!,0),0)</f>
        <v>0</v>
      </c>
      <c r="AS278" s="463">
        <f>+IF($I278=AS$10,IF($L278=AS$11,#REF!,0),0)</f>
        <v>0</v>
      </c>
      <c r="AT278" s="464">
        <f>+IF($I278=AT$10,IF($L278=AT$11,#REF!,0),0)</f>
        <v>0</v>
      </c>
      <c r="AU278" s="464">
        <f>+IF($I278=AU$10,IF($L278=AU$11,#REF!,0),0)</f>
        <v>0</v>
      </c>
      <c r="AV278" s="464">
        <f>+IF($I278=AV$10,IF($L278=AV$11,#REF!,0),0)</f>
        <v>0</v>
      </c>
      <c r="AW278" s="464">
        <f>+IF($I278=AW$10,IF($L278=AW$11,#REF!,0),0)</f>
        <v>0</v>
      </c>
      <c r="AX278" s="465">
        <f>+IF($I278=AX$10,IF($L278=AX$11,#REF!,0),0)</f>
        <v>0</v>
      </c>
      <c r="AY278" s="463">
        <f>+IF($I278=AY$10,IF($L278=AY$11,#REF!,0),0)</f>
        <v>0</v>
      </c>
      <c r="AZ278" s="464">
        <f>+IF($I278=AZ$10,IF($L278=AZ$11,#REF!,0),0)</f>
        <v>0</v>
      </c>
      <c r="BA278" s="464">
        <f>+IF($I278=BA$10,IF($L278=BA$11,#REF!,0),0)</f>
        <v>0</v>
      </c>
      <c r="BB278" s="464">
        <f>+IF($I278=BB$10,IF($L278=BB$11,#REF!,0),0)</f>
        <v>0</v>
      </c>
      <c r="BC278" s="464">
        <f>+IF($I278=BC$10,IF($L278=BC$11,#REF!,0),0)</f>
        <v>0</v>
      </c>
      <c r="BD278" s="465">
        <f>+IF($I278=BD$10,IF($L278=BD$11,#REF!,0),0)</f>
        <v>0</v>
      </c>
      <c r="BE278" s="463">
        <f>+IF($I278=BE$10,IF($L278=BE$11,#REF!,0),0)</f>
        <v>0</v>
      </c>
      <c r="BF278" s="464">
        <f>+IF($I278=BF$10,IF($L278=BF$11,#REF!,0),0)</f>
        <v>0</v>
      </c>
      <c r="BG278" s="464">
        <f>+IF($I278=BG$10,IF($L278=BG$11,#REF!,0),0)</f>
        <v>0</v>
      </c>
      <c r="BH278" s="464">
        <f>+IF($I278=BH$10,IF($L278=BH$11,#REF!,0),0)</f>
        <v>0</v>
      </c>
      <c r="BI278" s="464">
        <f>+IF($I278=BI$10,IF($L278=BI$11,#REF!,0),0)</f>
        <v>0</v>
      </c>
      <c r="BJ278" s="466">
        <f>+IF($I278=BJ$10,IF($L278=BJ$11,#REF!,0),0)</f>
        <v>0</v>
      </c>
    </row>
    <row r="279" spans="5:62" s="467" customFormat="1" ht="16.5" hidden="1" customHeight="1">
      <c r="E279" s="454" t="s">
        <v>1217</v>
      </c>
      <c r="F279" s="455"/>
      <c r="G279" s="456"/>
      <c r="H279" s="457" t="str">
        <f t="shared" si="68"/>
        <v>-</v>
      </c>
      <c r="I279" s="458" t="str">
        <f t="shared" si="47"/>
        <v>POSTE DE ALUMBRADO</v>
      </c>
      <c r="J279" s="566"/>
      <c r="K279" s="459" t="s">
        <v>1204</v>
      </c>
      <c r="L279" s="460" t="s">
        <v>1191</v>
      </c>
      <c r="M279" s="463">
        <f t="shared" si="69"/>
        <v>0</v>
      </c>
      <c r="N279" s="463">
        <f t="shared" si="69"/>
        <v>0</v>
      </c>
      <c r="O279" s="463">
        <f t="shared" si="69"/>
        <v>0</v>
      </c>
      <c r="P279" s="463">
        <f t="shared" si="69"/>
        <v>0</v>
      </c>
      <c r="Q279" s="463">
        <f t="shared" si="69"/>
        <v>0</v>
      </c>
      <c r="R279" s="463">
        <f t="shared" si="69"/>
        <v>0</v>
      </c>
      <c r="S279" s="463">
        <f t="shared" si="69"/>
        <v>0</v>
      </c>
      <c r="T279" s="463">
        <f t="shared" si="69"/>
        <v>0</v>
      </c>
      <c r="U279" s="463">
        <f t="shared" si="69"/>
        <v>0</v>
      </c>
      <c r="V279" s="463">
        <f t="shared" si="69"/>
        <v>0</v>
      </c>
      <c r="W279" s="463">
        <f t="shared" si="69"/>
        <v>0</v>
      </c>
      <c r="X279" s="463">
        <f t="shared" si="70"/>
        <v>0</v>
      </c>
      <c r="Y279" s="463">
        <f t="shared" si="70"/>
        <v>0</v>
      </c>
      <c r="Z279" s="463">
        <f t="shared" si="70"/>
        <v>0</v>
      </c>
      <c r="AA279" s="463">
        <f t="shared" si="70"/>
        <v>0</v>
      </c>
      <c r="AB279" s="463">
        <f t="shared" si="70"/>
        <v>1</v>
      </c>
      <c r="AC279" s="463">
        <f t="shared" si="70"/>
        <v>0</v>
      </c>
      <c r="AD279" s="463">
        <f t="shared" si="70"/>
        <v>0</v>
      </c>
      <c r="AE279" s="463">
        <f t="shared" si="70"/>
        <v>0</v>
      </c>
      <c r="AF279" s="621">
        <f t="shared" si="70"/>
        <v>0</v>
      </c>
      <c r="AG279" s="573"/>
      <c r="AH279" s="464"/>
      <c r="AI279" s="464"/>
      <c r="AJ279" s="464"/>
      <c r="AK279" s="464"/>
      <c r="AL279" s="465">
        <f>+IF($I279=AL$10,IF($L279=AL$11,#REF!,0),0)</f>
        <v>0</v>
      </c>
      <c r="AM279" s="463">
        <f>+IF($I279=AM$10,IF($L279=AM$11,#REF!,0),0)</f>
        <v>0</v>
      </c>
      <c r="AN279" s="464">
        <f>+IF($I279=AN$10,IF($L279=AN$11,#REF!,0),0)</f>
        <v>0</v>
      </c>
      <c r="AO279" s="464">
        <f>+IF($I279=AO$10,IF($L279=AO$11,#REF!,0),0)</f>
        <v>0</v>
      </c>
      <c r="AP279" s="464">
        <f>+IF($I279=AP$10,IF($L279=AP$11,#REF!,0),0)</f>
        <v>0</v>
      </c>
      <c r="AQ279" s="464">
        <f>+IF($I279=AQ$10,IF($L279=AQ$11,#REF!,0),0)</f>
        <v>0</v>
      </c>
      <c r="AR279" s="465">
        <f>+IF($I279=AR$10,IF($L279=AR$11,#REF!,0),0)</f>
        <v>0</v>
      </c>
      <c r="AS279" s="463">
        <f>+IF($I279=AS$10,IF($L279=AS$11,#REF!,0),0)</f>
        <v>0</v>
      </c>
      <c r="AT279" s="464">
        <f>+IF($I279=AT$10,IF($L279=AT$11,#REF!,0),0)</f>
        <v>0</v>
      </c>
      <c r="AU279" s="464">
        <f>+IF($I279=AU$10,IF($L279=AU$11,#REF!,0),0)</f>
        <v>0</v>
      </c>
      <c r="AV279" s="464">
        <f>+IF($I279=AV$10,IF($L279=AV$11,#REF!,0),0)</f>
        <v>0</v>
      </c>
      <c r="AW279" s="464">
        <f>+IF($I279=AW$10,IF($L279=AW$11,#REF!,0),0)</f>
        <v>0</v>
      </c>
      <c r="AX279" s="465">
        <f>+IF($I279=AX$10,IF($L279=AX$11,#REF!,0),0)</f>
        <v>0</v>
      </c>
      <c r="AY279" s="463">
        <f>+IF($I279=AY$10,IF($L279=AY$11,#REF!,0),0)</f>
        <v>0</v>
      </c>
      <c r="AZ279" s="464">
        <f>+IF($I279=AZ$10,IF($L279=AZ$11,#REF!,0),0)</f>
        <v>0</v>
      </c>
      <c r="BA279" s="464">
        <f>+IF($I279=BA$10,IF($L279=BA$11,#REF!,0),0)</f>
        <v>0</v>
      </c>
      <c r="BB279" s="464">
        <f>+IF($I279=BB$10,IF($L279=BB$11,#REF!,0),0)</f>
        <v>0</v>
      </c>
      <c r="BC279" s="464">
        <f>+IF($I279=BC$10,IF($L279=BC$11,#REF!,0),0)</f>
        <v>0</v>
      </c>
      <c r="BD279" s="465">
        <f>+IF($I279=BD$10,IF($L279=BD$11,#REF!,0),0)</f>
        <v>0</v>
      </c>
      <c r="BE279" s="463">
        <f>+IF($I279=BE$10,IF($L279=BE$11,#REF!,0),0)</f>
        <v>0</v>
      </c>
      <c r="BF279" s="464">
        <f>+IF($I279=BF$10,IF($L279=BF$11,#REF!,0),0)</f>
        <v>0</v>
      </c>
      <c r="BG279" s="464">
        <f>+IF($I279=BG$10,IF($L279=BG$11,#REF!,0),0)</f>
        <v>0</v>
      </c>
      <c r="BH279" s="464">
        <f>+IF($I279=BH$10,IF($L279=BH$11,#REF!,0),0)</f>
        <v>0</v>
      </c>
      <c r="BI279" s="464">
        <f>+IF($I279=BI$10,IF($L279=BI$11,#REF!,0),0)</f>
        <v>0</v>
      </c>
      <c r="BJ279" s="466">
        <f>+IF($I279=BJ$10,IF($L279=BJ$11,#REF!,0),0)</f>
        <v>0</v>
      </c>
    </row>
    <row r="280" spans="5:62" s="467" customFormat="1" ht="16.5" hidden="1" customHeight="1">
      <c r="E280" s="454" t="s">
        <v>1217</v>
      </c>
      <c r="F280" s="455"/>
      <c r="G280" s="456"/>
      <c r="H280" s="457" t="str">
        <f t="shared" si="68"/>
        <v>-</v>
      </c>
      <c r="I280" s="458" t="str">
        <f t="shared" si="47"/>
        <v>POSTE DE TELEFONO</v>
      </c>
      <c r="J280" s="566"/>
      <c r="K280" s="459" t="s">
        <v>1203</v>
      </c>
      <c r="L280" s="460" t="s">
        <v>1191</v>
      </c>
      <c r="M280" s="463">
        <f t="shared" si="69"/>
        <v>0</v>
      </c>
      <c r="N280" s="463">
        <f t="shared" si="69"/>
        <v>0</v>
      </c>
      <c r="O280" s="463">
        <f t="shared" si="69"/>
        <v>0</v>
      </c>
      <c r="P280" s="463">
        <f t="shared" si="69"/>
        <v>0</v>
      </c>
      <c r="Q280" s="463">
        <f t="shared" si="69"/>
        <v>0</v>
      </c>
      <c r="R280" s="463">
        <f t="shared" si="69"/>
        <v>0</v>
      </c>
      <c r="S280" s="463">
        <f t="shared" si="69"/>
        <v>0</v>
      </c>
      <c r="T280" s="463">
        <f t="shared" si="69"/>
        <v>0</v>
      </c>
      <c r="U280" s="463">
        <f t="shared" si="69"/>
        <v>0</v>
      </c>
      <c r="V280" s="463">
        <f t="shared" si="69"/>
        <v>0</v>
      </c>
      <c r="W280" s="463">
        <f t="shared" si="69"/>
        <v>0</v>
      </c>
      <c r="X280" s="463">
        <f t="shared" si="70"/>
        <v>0</v>
      </c>
      <c r="Y280" s="463">
        <f t="shared" si="70"/>
        <v>0</v>
      </c>
      <c r="Z280" s="463">
        <f t="shared" si="70"/>
        <v>0</v>
      </c>
      <c r="AA280" s="463">
        <f t="shared" si="70"/>
        <v>1</v>
      </c>
      <c r="AB280" s="463">
        <f t="shared" si="70"/>
        <v>0</v>
      </c>
      <c r="AC280" s="463">
        <f t="shared" si="70"/>
        <v>0</v>
      </c>
      <c r="AD280" s="463">
        <f t="shared" si="70"/>
        <v>0</v>
      </c>
      <c r="AE280" s="463">
        <f t="shared" si="70"/>
        <v>0</v>
      </c>
      <c r="AF280" s="621">
        <f t="shared" si="70"/>
        <v>0</v>
      </c>
      <c r="AG280" s="573"/>
      <c r="AH280" s="464"/>
      <c r="AI280" s="464"/>
      <c r="AJ280" s="464"/>
      <c r="AK280" s="464"/>
      <c r="AL280" s="465">
        <f>+IF($I280=AL$10,IF($L280=AL$11,#REF!,0),0)</f>
        <v>0</v>
      </c>
      <c r="AM280" s="463">
        <f>+IF($I280=AM$10,IF($L280=AM$11,#REF!,0),0)</f>
        <v>0</v>
      </c>
      <c r="AN280" s="464">
        <f>+IF($I280=AN$10,IF($L280=AN$11,#REF!,0),0)</f>
        <v>0</v>
      </c>
      <c r="AO280" s="464">
        <f>+IF($I280=AO$10,IF($L280=AO$11,#REF!,0),0)</f>
        <v>0</v>
      </c>
      <c r="AP280" s="464">
        <f>+IF($I280=AP$10,IF($L280=AP$11,#REF!,0),0)</f>
        <v>0</v>
      </c>
      <c r="AQ280" s="464">
        <f>+IF($I280=AQ$10,IF($L280=AQ$11,#REF!,0),0)</f>
        <v>0</v>
      </c>
      <c r="AR280" s="465">
        <f>+IF($I280=AR$10,IF($L280=AR$11,#REF!,0),0)</f>
        <v>0</v>
      </c>
      <c r="AS280" s="463">
        <f>+IF($I280=AS$10,IF($L280=AS$11,#REF!,0),0)</f>
        <v>0</v>
      </c>
      <c r="AT280" s="464">
        <f>+IF($I280=AT$10,IF($L280=AT$11,#REF!,0),0)</f>
        <v>0</v>
      </c>
      <c r="AU280" s="464">
        <f>+IF($I280=AU$10,IF($L280=AU$11,#REF!,0),0)</f>
        <v>0</v>
      </c>
      <c r="AV280" s="464">
        <f>+IF($I280=AV$10,IF($L280=AV$11,#REF!,0),0)</f>
        <v>0</v>
      </c>
      <c r="AW280" s="464">
        <f>+IF($I280=AW$10,IF($L280=AW$11,#REF!,0),0)</f>
        <v>0</v>
      </c>
      <c r="AX280" s="465">
        <f>+IF($I280=AX$10,IF($L280=AX$11,#REF!,0),0)</f>
        <v>0</v>
      </c>
      <c r="AY280" s="463">
        <f>+IF($I280=AY$10,IF($L280=AY$11,#REF!,0),0)</f>
        <v>0</v>
      </c>
      <c r="AZ280" s="464">
        <f>+IF($I280=AZ$10,IF($L280=AZ$11,#REF!,0),0)</f>
        <v>0</v>
      </c>
      <c r="BA280" s="464">
        <f>+IF($I280=BA$10,IF($L280=BA$11,#REF!,0),0)</f>
        <v>0</v>
      </c>
      <c r="BB280" s="464">
        <f>+IF($I280=BB$10,IF($L280=BB$11,#REF!,0),0)</f>
        <v>0</v>
      </c>
      <c r="BC280" s="464">
        <f>+IF($I280=BC$10,IF($L280=BC$11,#REF!,0),0)</f>
        <v>0</v>
      </c>
      <c r="BD280" s="465">
        <f>+IF($I280=BD$10,IF($L280=BD$11,#REF!,0),0)</f>
        <v>0</v>
      </c>
      <c r="BE280" s="463">
        <f>+IF($I280=BE$10,IF($L280=BE$11,#REF!,0),0)</f>
        <v>0</v>
      </c>
      <c r="BF280" s="464">
        <f>+IF($I280=BF$10,IF($L280=BF$11,#REF!,0),0)</f>
        <v>0</v>
      </c>
      <c r="BG280" s="464">
        <f>+IF($I280=BG$10,IF($L280=BG$11,#REF!,0),0)</f>
        <v>0</v>
      </c>
      <c r="BH280" s="464">
        <f>+IF($I280=BH$10,IF($L280=BH$11,#REF!,0),0)</f>
        <v>0</v>
      </c>
      <c r="BI280" s="464">
        <f>+IF($I280=BI$10,IF($L280=BI$11,#REF!,0),0)</f>
        <v>0</v>
      </c>
      <c r="BJ280" s="466">
        <f>+IF($I280=BJ$10,IF($L280=BJ$11,#REF!,0),0)</f>
        <v>0</v>
      </c>
    </row>
    <row r="281" spans="5:62" s="467" customFormat="1" ht="16.5" hidden="1" customHeight="1">
      <c r="E281" s="454" t="s">
        <v>1217</v>
      </c>
      <c r="F281" s="455"/>
      <c r="G281" s="456"/>
      <c r="H281" s="457" t="str">
        <f t="shared" si="68"/>
        <v>-</v>
      </c>
      <c r="I281" s="458" t="str">
        <f t="shared" si="47"/>
        <v>POSTE DE ALUMBRADO</v>
      </c>
      <c r="J281" s="566"/>
      <c r="K281" s="459" t="s">
        <v>1204</v>
      </c>
      <c r="L281" s="460" t="s">
        <v>1191</v>
      </c>
      <c r="M281" s="463">
        <f t="shared" si="69"/>
        <v>0</v>
      </c>
      <c r="N281" s="463">
        <f t="shared" si="69"/>
        <v>0</v>
      </c>
      <c r="O281" s="463">
        <f t="shared" si="69"/>
        <v>0</v>
      </c>
      <c r="P281" s="463">
        <f t="shared" si="69"/>
        <v>0</v>
      </c>
      <c r="Q281" s="463">
        <f t="shared" si="69"/>
        <v>0</v>
      </c>
      <c r="R281" s="463">
        <f t="shared" si="69"/>
        <v>0</v>
      </c>
      <c r="S281" s="463">
        <f t="shared" si="69"/>
        <v>0</v>
      </c>
      <c r="T281" s="463">
        <f t="shared" si="69"/>
        <v>0</v>
      </c>
      <c r="U281" s="463">
        <f t="shared" si="69"/>
        <v>0</v>
      </c>
      <c r="V281" s="463">
        <f t="shared" si="69"/>
        <v>0</v>
      </c>
      <c r="W281" s="463">
        <f t="shared" si="69"/>
        <v>0</v>
      </c>
      <c r="X281" s="463">
        <f t="shared" si="70"/>
        <v>0</v>
      </c>
      <c r="Y281" s="463">
        <f t="shared" si="70"/>
        <v>0</v>
      </c>
      <c r="Z281" s="463">
        <f t="shared" si="70"/>
        <v>0</v>
      </c>
      <c r="AA281" s="463">
        <f t="shared" si="70"/>
        <v>0</v>
      </c>
      <c r="AB281" s="463">
        <f t="shared" si="70"/>
        <v>1</v>
      </c>
      <c r="AC281" s="463">
        <f t="shared" si="70"/>
        <v>0</v>
      </c>
      <c r="AD281" s="463">
        <f t="shared" si="70"/>
        <v>0</v>
      </c>
      <c r="AE281" s="463">
        <f t="shared" si="70"/>
        <v>0</v>
      </c>
      <c r="AF281" s="621">
        <f t="shared" si="70"/>
        <v>0</v>
      </c>
      <c r="AG281" s="573"/>
      <c r="AH281" s="464"/>
      <c r="AI281" s="464"/>
      <c r="AJ281" s="464"/>
      <c r="AK281" s="464"/>
      <c r="AL281" s="465">
        <f>+IF($I281=AL$10,IF($L281=AL$11,#REF!,0),0)</f>
        <v>0</v>
      </c>
      <c r="AM281" s="463">
        <f>+IF($I281=AM$10,IF($L281=AM$11,#REF!,0),0)</f>
        <v>0</v>
      </c>
      <c r="AN281" s="464">
        <f>+IF($I281=AN$10,IF($L281=AN$11,#REF!,0),0)</f>
        <v>0</v>
      </c>
      <c r="AO281" s="464">
        <f>+IF($I281=AO$10,IF($L281=AO$11,#REF!,0),0)</f>
        <v>0</v>
      </c>
      <c r="AP281" s="464">
        <f>+IF($I281=AP$10,IF($L281=AP$11,#REF!,0),0)</f>
        <v>0</v>
      </c>
      <c r="AQ281" s="464">
        <f>+IF($I281=AQ$10,IF($L281=AQ$11,#REF!,0),0)</f>
        <v>0</v>
      </c>
      <c r="AR281" s="465">
        <f>+IF($I281=AR$10,IF($L281=AR$11,#REF!,0),0)</f>
        <v>0</v>
      </c>
      <c r="AS281" s="463">
        <f>+IF($I281=AS$10,IF($L281=AS$11,#REF!,0),0)</f>
        <v>0</v>
      </c>
      <c r="AT281" s="464">
        <f>+IF($I281=AT$10,IF($L281=AT$11,#REF!,0),0)</f>
        <v>0</v>
      </c>
      <c r="AU281" s="464">
        <f>+IF($I281=AU$10,IF($L281=AU$11,#REF!,0),0)</f>
        <v>0</v>
      </c>
      <c r="AV281" s="464">
        <f>+IF($I281=AV$10,IF($L281=AV$11,#REF!,0),0)</f>
        <v>0</v>
      </c>
      <c r="AW281" s="464">
        <f>+IF($I281=AW$10,IF($L281=AW$11,#REF!,0),0)</f>
        <v>0</v>
      </c>
      <c r="AX281" s="465">
        <f>+IF($I281=AX$10,IF($L281=AX$11,#REF!,0),0)</f>
        <v>0</v>
      </c>
      <c r="AY281" s="463">
        <f>+IF($I281=AY$10,IF($L281=AY$11,#REF!,0),0)</f>
        <v>0</v>
      </c>
      <c r="AZ281" s="464">
        <f>+IF($I281=AZ$10,IF($L281=AZ$11,#REF!,0),0)</f>
        <v>0</v>
      </c>
      <c r="BA281" s="464">
        <f>+IF($I281=BA$10,IF($L281=BA$11,#REF!,0),0)</f>
        <v>0</v>
      </c>
      <c r="BB281" s="464">
        <f>+IF($I281=BB$10,IF($L281=BB$11,#REF!,0),0)</f>
        <v>0</v>
      </c>
      <c r="BC281" s="464">
        <f>+IF($I281=BC$10,IF($L281=BC$11,#REF!,0),0)</f>
        <v>0</v>
      </c>
      <c r="BD281" s="465">
        <f>+IF($I281=BD$10,IF($L281=BD$11,#REF!,0),0)</f>
        <v>0</v>
      </c>
      <c r="BE281" s="463">
        <f>+IF($I281=BE$10,IF($L281=BE$11,#REF!,0),0)</f>
        <v>0</v>
      </c>
      <c r="BF281" s="464">
        <f>+IF($I281=BF$10,IF($L281=BF$11,#REF!,0),0)</f>
        <v>0</v>
      </c>
      <c r="BG281" s="464">
        <f>+IF($I281=BG$10,IF($L281=BG$11,#REF!,0),0)</f>
        <v>0</v>
      </c>
      <c r="BH281" s="464">
        <f>+IF($I281=BH$10,IF($L281=BH$11,#REF!,0),0)</f>
        <v>0</v>
      </c>
      <c r="BI281" s="464">
        <f>+IF($I281=BI$10,IF($L281=BI$11,#REF!,0),0)</f>
        <v>0</v>
      </c>
      <c r="BJ281" s="466">
        <f>+IF($I281=BJ$10,IF($L281=BJ$11,#REF!,0),0)</f>
        <v>0</v>
      </c>
    </row>
    <row r="282" spans="5:62" s="467" customFormat="1" ht="16.5" hidden="1" customHeight="1">
      <c r="E282" s="454" t="s">
        <v>1217</v>
      </c>
      <c r="F282" s="455"/>
      <c r="G282" s="456"/>
      <c r="H282" s="457" t="str">
        <f t="shared" si="68"/>
        <v>-</v>
      </c>
      <c r="I282" s="458" t="str">
        <f t="shared" si="47"/>
        <v>POSTE DE ALUMBRADO</v>
      </c>
      <c r="J282" s="566"/>
      <c r="K282" s="459" t="s">
        <v>1204</v>
      </c>
      <c r="L282" s="460" t="s">
        <v>1191</v>
      </c>
      <c r="M282" s="463">
        <f t="shared" si="69"/>
        <v>0</v>
      </c>
      <c r="N282" s="463">
        <f t="shared" si="69"/>
        <v>0</v>
      </c>
      <c r="O282" s="463">
        <f t="shared" si="69"/>
        <v>0</v>
      </c>
      <c r="P282" s="463">
        <f t="shared" si="69"/>
        <v>0</v>
      </c>
      <c r="Q282" s="463">
        <f t="shared" si="69"/>
        <v>0</v>
      </c>
      <c r="R282" s="463">
        <f t="shared" si="69"/>
        <v>0</v>
      </c>
      <c r="S282" s="463">
        <f t="shared" si="69"/>
        <v>0</v>
      </c>
      <c r="T282" s="463">
        <f t="shared" si="69"/>
        <v>0</v>
      </c>
      <c r="U282" s="463">
        <f t="shared" si="69"/>
        <v>0</v>
      </c>
      <c r="V282" s="463">
        <f t="shared" si="69"/>
        <v>0</v>
      </c>
      <c r="W282" s="463">
        <f t="shared" si="69"/>
        <v>0</v>
      </c>
      <c r="X282" s="463">
        <f t="shared" si="70"/>
        <v>0</v>
      </c>
      <c r="Y282" s="463">
        <f t="shared" si="70"/>
        <v>0</v>
      </c>
      <c r="Z282" s="463">
        <f t="shared" si="70"/>
        <v>0</v>
      </c>
      <c r="AA282" s="463">
        <f t="shared" si="70"/>
        <v>0</v>
      </c>
      <c r="AB282" s="463">
        <f t="shared" si="70"/>
        <v>1</v>
      </c>
      <c r="AC282" s="463">
        <f t="shared" si="70"/>
        <v>0</v>
      </c>
      <c r="AD282" s="463">
        <f t="shared" si="70"/>
        <v>0</v>
      </c>
      <c r="AE282" s="463">
        <f t="shared" si="70"/>
        <v>0</v>
      </c>
      <c r="AF282" s="621">
        <f t="shared" si="70"/>
        <v>0</v>
      </c>
      <c r="AG282" s="573"/>
      <c r="AH282" s="464"/>
      <c r="AI282" s="464"/>
      <c r="AJ282" s="464"/>
      <c r="AK282" s="464"/>
      <c r="AL282" s="465">
        <f>+IF($I282=AL$10,IF($L282=AL$11,#REF!,0),0)</f>
        <v>0</v>
      </c>
      <c r="AM282" s="463">
        <f>+IF($I282=AM$10,IF($L282=AM$11,#REF!,0),0)</f>
        <v>0</v>
      </c>
      <c r="AN282" s="464">
        <f>+IF($I282=AN$10,IF($L282=AN$11,#REF!,0),0)</f>
        <v>0</v>
      </c>
      <c r="AO282" s="464">
        <f>+IF($I282=AO$10,IF($L282=AO$11,#REF!,0),0)</f>
        <v>0</v>
      </c>
      <c r="AP282" s="464">
        <v>1</v>
      </c>
      <c r="AQ282" s="464">
        <f>+IF($I282=AQ$10,IF($L282=AQ$11,#REF!,0),0)</f>
        <v>0</v>
      </c>
      <c r="AR282" s="465">
        <f>+IF($I282=AR$10,IF($L282=AR$11,#REF!,0),0)</f>
        <v>0</v>
      </c>
      <c r="AS282" s="463">
        <f>+IF($I282=AS$10,IF($L282=AS$11,#REF!,0),0)</f>
        <v>0</v>
      </c>
      <c r="AT282" s="464">
        <f>+IF($I282=AT$10,IF($L282=AT$11,#REF!,0),0)</f>
        <v>0</v>
      </c>
      <c r="AU282" s="464">
        <f>+IF($I282=AU$10,IF($L282=AU$11,#REF!,0),0)</f>
        <v>0</v>
      </c>
      <c r="AV282" s="464">
        <f>+IF($I282=AV$10,IF($L282=AV$11,#REF!,0),0)</f>
        <v>0</v>
      </c>
      <c r="AW282" s="464">
        <f>+IF($I282=AW$10,IF($L282=AW$11,#REF!,0),0)</f>
        <v>0</v>
      </c>
      <c r="AX282" s="465">
        <f>+IF($I282=AX$10,IF($L282=AX$11,#REF!,0),0)</f>
        <v>0</v>
      </c>
      <c r="AY282" s="463">
        <f>+IF($I282=AY$10,IF($L282=AY$11,#REF!,0),0)</f>
        <v>0</v>
      </c>
      <c r="AZ282" s="464">
        <f>+IF($I282=AZ$10,IF($L282=AZ$11,#REF!,0),0)</f>
        <v>0</v>
      </c>
      <c r="BA282" s="464">
        <f>+IF($I282=BA$10,IF($L282=BA$11,#REF!,0),0)</f>
        <v>0</v>
      </c>
      <c r="BB282" s="464">
        <f>+IF($I282=BB$10,IF($L282=BB$11,#REF!,0),0)</f>
        <v>0</v>
      </c>
      <c r="BC282" s="464">
        <f>+IF($I282=BC$10,IF($L282=BC$11,#REF!,0),0)</f>
        <v>0</v>
      </c>
      <c r="BD282" s="465">
        <f>+IF($I282=BD$10,IF($L282=BD$11,#REF!,0),0)</f>
        <v>0</v>
      </c>
      <c r="BE282" s="463">
        <f>+IF($I282=BE$10,IF($L282=BE$11,#REF!,0),0)</f>
        <v>0</v>
      </c>
      <c r="BF282" s="464">
        <f>+IF($I282=BF$10,IF($L282=BF$11,#REF!,0),0)</f>
        <v>0</v>
      </c>
      <c r="BG282" s="464">
        <f>+IF($I282=BG$10,IF($L282=BG$11,#REF!,0),0)</f>
        <v>0</v>
      </c>
      <c r="BH282" s="464">
        <f>+IF($I282=BH$10,IF($L282=BH$11,#REF!,0),0)</f>
        <v>0</v>
      </c>
      <c r="BI282" s="464">
        <f>+IF($I282=BI$10,IF($L282=BI$11,#REF!,0),0)</f>
        <v>0</v>
      </c>
      <c r="BJ282" s="466">
        <f>+IF($I282=BJ$10,IF($L282=BJ$11,#REF!,0),0)</f>
        <v>0</v>
      </c>
    </row>
    <row r="283" spans="5:62" s="467" customFormat="1" ht="16.5" hidden="1" customHeight="1">
      <c r="E283" s="454" t="s">
        <v>1217</v>
      </c>
      <c r="F283" s="455"/>
      <c r="G283" s="456"/>
      <c r="H283" s="457" t="str">
        <f t="shared" si="68"/>
        <v>-</v>
      </c>
      <c r="I283" s="458" t="str">
        <f t="shared" si="47"/>
        <v>POSTE DE TELEFONO</v>
      </c>
      <c r="J283" s="566"/>
      <c r="K283" s="459" t="s">
        <v>1203</v>
      </c>
      <c r="L283" s="460" t="s">
        <v>1191</v>
      </c>
      <c r="M283" s="463">
        <f t="shared" si="69"/>
        <v>0</v>
      </c>
      <c r="N283" s="463">
        <f t="shared" si="69"/>
        <v>0</v>
      </c>
      <c r="O283" s="463">
        <f t="shared" si="69"/>
        <v>0</v>
      </c>
      <c r="P283" s="463">
        <f t="shared" si="69"/>
        <v>0</v>
      </c>
      <c r="Q283" s="463">
        <f t="shared" si="69"/>
        <v>0</v>
      </c>
      <c r="R283" s="463">
        <f t="shared" si="69"/>
        <v>0</v>
      </c>
      <c r="S283" s="463">
        <f t="shared" si="69"/>
        <v>0</v>
      </c>
      <c r="T283" s="463">
        <f t="shared" si="69"/>
        <v>0</v>
      </c>
      <c r="U283" s="463">
        <f t="shared" si="69"/>
        <v>0</v>
      </c>
      <c r="V283" s="463">
        <f t="shared" si="69"/>
        <v>0</v>
      </c>
      <c r="W283" s="463">
        <f t="shared" si="69"/>
        <v>0</v>
      </c>
      <c r="X283" s="463">
        <f t="shared" si="70"/>
        <v>0</v>
      </c>
      <c r="Y283" s="463">
        <f t="shared" si="70"/>
        <v>0</v>
      </c>
      <c r="Z283" s="463">
        <f t="shared" si="70"/>
        <v>0</v>
      </c>
      <c r="AA283" s="463">
        <f t="shared" si="70"/>
        <v>1</v>
      </c>
      <c r="AB283" s="463">
        <f t="shared" si="70"/>
        <v>0</v>
      </c>
      <c r="AC283" s="463">
        <f t="shared" si="70"/>
        <v>0</v>
      </c>
      <c r="AD283" s="463">
        <f t="shared" si="70"/>
        <v>0</v>
      </c>
      <c r="AE283" s="463">
        <f t="shared" si="70"/>
        <v>0</v>
      </c>
      <c r="AF283" s="621">
        <f t="shared" si="70"/>
        <v>0</v>
      </c>
      <c r="AG283" s="573"/>
      <c r="AH283" s="464"/>
      <c r="AI283" s="464"/>
      <c r="AJ283" s="464"/>
      <c r="AK283" s="464"/>
      <c r="AL283" s="465">
        <f>+IF($I283=AL$10,IF($L283=AL$11,#REF!,0),0)</f>
        <v>0</v>
      </c>
      <c r="AM283" s="463">
        <f>+IF($I283=AM$10,IF($L283=AM$11,#REF!,0),0)</f>
        <v>0</v>
      </c>
      <c r="AN283" s="464">
        <f>+IF($I283=AN$10,IF($L283=AN$11,#REF!,0),0)</f>
        <v>0</v>
      </c>
      <c r="AO283" s="464">
        <f>+IF($I283=AO$10,IF($L283=AO$11,#REF!,0),0)</f>
        <v>0</v>
      </c>
      <c r="AP283" s="464">
        <f>+IF($I283=AP$10,IF($L283=AP$11,#REF!,0),0)</f>
        <v>0</v>
      </c>
      <c r="AQ283" s="464">
        <f>+IF($I283=AQ$10,IF($L283=AQ$11,#REF!,0),0)</f>
        <v>0</v>
      </c>
      <c r="AR283" s="465">
        <f>+IF($I283=AR$10,IF($L283=AR$11,#REF!,0),0)</f>
        <v>0</v>
      </c>
      <c r="AS283" s="463">
        <f>+IF($I283=AS$10,IF($L283=AS$11,#REF!,0),0)</f>
        <v>0</v>
      </c>
      <c r="AT283" s="464">
        <f>+IF($I283=AT$10,IF($L283=AT$11,#REF!,0),0)</f>
        <v>0</v>
      </c>
      <c r="AU283" s="464">
        <f>+IF($I283=AU$10,IF($L283=AU$11,#REF!,0),0)</f>
        <v>0</v>
      </c>
      <c r="AV283" s="464">
        <v>1</v>
      </c>
      <c r="AW283" s="464">
        <f>+IF($I283=AW$10,IF($L283=AW$11,#REF!,0),0)</f>
        <v>0</v>
      </c>
      <c r="AX283" s="465">
        <f>+IF($I283=AX$10,IF($L283=AX$11,#REF!,0),0)</f>
        <v>0</v>
      </c>
      <c r="AY283" s="463">
        <f>+IF($I283=AY$10,IF($L283=AY$11,#REF!,0),0)</f>
        <v>0</v>
      </c>
      <c r="AZ283" s="464">
        <f>+IF($I283=AZ$10,IF($L283=AZ$11,#REF!,0),0)</f>
        <v>0</v>
      </c>
      <c r="BA283" s="464">
        <f>+IF($I283=BA$10,IF($L283=BA$11,#REF!,0),0)</f>
        <v>0</v>
      </c>
      <c r="BB283" s="464">
        <f>+IF($I283=BB$10,IF($L283=BB$11,#REF!,0),0)</f>
        <v>0</v>
      </c>
      <c r="BC283" s="464">
        <f>+IF($I283=BC$10,IF($L283=BC$11,#REF!,0),0)</f>
        <v>0</v>
      </c>
      <c r="BD283" s="465">
        <f>+IF($I283=BD$10,IF($L283=BD$11,#REF!,0),0)</f>
        <v>0</v>
      </c>
      <c r="BE283" s="463">
        <f>+IF($I283=BE$10,IF($L283=BE$11,#REF!,0),0)</f>
        <v>0</v>
      </c>
      <c r="BF283" s="464">
        <f>+IF($I283=BF$10,IF($L283=BF$11,#REF!,0),0)</f>
        <v>0</v>
      </c>
      <c r="BG283" s="464">
        <f>+IF($I283=BG$10,IF($L283=BG$11,#REF!,0),0)</f>
        <v>0</v>
      </c>
      <c r="BH283" s="464">
        <f>+IF($I283=BH$10,IF($L283=BH$11,#REF!,0),0)</f>
        <v>0</v>
      </c>
      <c r="BI283" s="464">
        <f>+IF($I283=BI$10,IF($L283=BI$11,#REF!,0),0)</f>
        <v>0</v>
      </c>
      <c r="BJ283" s="466">
        <f>+IF($I283=BJ$10,IF($L283=BJ$11,#REF!,0),0)</f>
        <v>0</v>
      </c>
    </row>
    <row r="284" spans="5:62" s="467" customFormat="1" ht="16.5" hidden="1" customHeight="1">
      <c r="E284" s="454" t="s">
        <v>1217</v>
      </c>
      <c r="F284" s="455"/>
      <c r="G284" s="456"/>
      <c r="H284" s="457" t="str">
        <f t="shared" si="68"/>
        <v>-</v>
      </c>
      <c r="I284" s="458" t="str">
        <f t="shared" si="47"/>
        <v>POSTE DE TELEFONO</v>
      </c>
      <c r="J284" s="566"/>
      <c r="K284" s="459" t="s">
        <v>1203</v>
      </c>
      <c r="L284" s="460" t="s">
        <v>1191</v>
      </c>
      <c r="M284" s="463">
        <f t="shared" si="69"/>
        <v>0</v>
      </c>
      <c r="N284" s="463">
        <f t="shared" si="69"/>
        <v>0</v>
      </c>
      <c r="O284" s="463">
        <f t="shared" si="69"/>
        <v>0</v>
      </c>
      <c r="P284" s="463">
        <f t="shared" si="69"/>
        <v>0</v>
      </c>
      <c r="Q284" s="463">
        <f t="shared" si="69"/>
        <v>0</v>
      </c>
      <c r="R284" s="463">
        <f t="shared" si="69"/>
        <v>0</v>
      </c>
      <c r="S284" s="463">
        <f t="shared" si="69"/>
        <v>0</v>
      </c>
      <c r="T284" s="463">
        <f t="shared" si="69"/>
        <v>0</v>
      </c>
      <c r="U284" s="463">
        <f t="shared" si="69"/>
        <v>0</v>
      </c>
      <c r="V284" s="463">
        <f t="shared" si="69"/>
        <v>0</v>
      </c>
      <c r="W284" s="463">
        <f t="shared" si="69"/>
        <v>0</v>
      </c>
      <c r="X284" s="463">
        <f t="shared" si="70"/>
        <v>0</v>
      </c>
      <c r="Y284" s="463">
        <f t="shared" si="70"/>
        <v>0</v>
      </c>
      <c r="Z284" s="463">
        <f t="shared" si="70"/>
        <v>0</v>
      </c>
      <c r="AA284" s="463">
        <f t="shared" si="70"/>
        <v>1</v>
      </c>
      <c r="AB284" s="463">
        <f t="shared" si="70"/>
        <v>0</v>
      </c>
      <c r="AC284" s="463">
        <f t="shared" si="70"/>
        <v>0</v>
      </c>
      <c r="AD284" s="463">
        <f t="shared" si="70"/>
        <v>0</v>
      </c>
      <c r="AE284" s="463">
        <f t="shared" si="70"/>
        <v>0</v>
      </c>
      <c r="AF284" s="621">
        <f t="shared" si="70"/>
        <v>0</v>
      </c>
      <c r="AG284" s="573"/>
      <c r="AH284" s="464"/>
      <c r="AI284" s="464"/>
      <c r="AJ284" s="464"/>
      <c r="AK284" s="464"/>
      <c r="AL284" s="465">
        <f>+IF($I284=AL$10,IF($L284=AL$11,#REF!,0),0)</f>
        <v>0</v>
      </c>
      <c r="AM284" s="463">
        <f>+IF($I284=AM$10,IF($L284=AM$11,#REF!,0),0)</f>
        <v>0</v>
      </c>
      <c r="AN284" s="464">
        <f>+IF($I284=AN$10,IF($L284=AN$11,#REF!,0),0)</f>
        <v>0</v>
      </c>
      <c r="AO284" s="464">
        <f>+IF($I284=AO$10,IF($L284=AO$11,#REF!,0),0)</f>
        <v>0</v>
      </c>
      <c r="AP284" s="464">
        <f>+IF($I284=AP$10,IF($L284=AP$11,#REF!,0),0)</f>
        <v>0</v>
      </c>
      <c r="AQ284" s="464">
        <f>+IF($I284=AQ$10,IF($L284=AQ$11,#REF!,0),0)</f>
        <v>0</v>
      </c>
      <c r="AR284" s="465">
        <f>+IF($I284=AR$10,IF($L284=AR$11,#REF!,0),0)</f>
        <v>0</v>
      </c>
      <c r="AS284" s="463">
        <f>+IF($I284=AS$10,IF($L284=AS$11,#REF!,0),0)</f>
        <v>0</v>
      </c>
      <c r="AT284" s="464">
        <f>+IF($I284=AT$10,IF($L284=AT$11,#REF!,0),0)</f>
        <v>0</v>
      </c>
      <c r="AU284" s="464">
        <f>+IF($I284=AU$10,IF($L284=AU$11,#REF!,0),0)</f>
        <v>0</v>
      </c>
      <c r="AV284" s="464">
        <f>+IF($I284=AV$10,IF($L284=AV$11,#REF!,0),0)</f>
        <v>0</v>
      </c>
      <c r="AW284" s="464">
        <f>+IF($I284=AW$10,IF($L284=AW$11,#REF!,0),0)</f>
        <v>0</v>
      </c>
      <c r="AX284" s="465">
        <f>+IF($I284=AX$10,IF($L284=AX$11,#REF!,0),0)</f>
        <v>0</v>
      </c>
      <c r="AY284" s="463">
        <v>1</v>
      </c>
      <c r="AZ284" s="464">
        <f>+IF($I284=AZ$10,IF($L284=AZ$11,#REF!,0),0)</f>
        <v>0</v>
      </c>
      <c r="BA284" s="464">
        <f>+IF($I284=BA$10,IF($L284=BA$11,#REF!,0),0)</f>
        <v>0</v>
      </c>
      <c r="BB284" s="464">
        <f>+IF($I284=BB$10,IF($L284=BB$11,#REF!,0),0)</f>
        <v>0</v>
      </c>
      <c r="BC284" s="464">
        <f>+IF($I284=BC$10,IF($L284=BC$11,#REF!,0),0)</f>
        <v>0</v>
      </c>
      <c r="BD284" s="465">
        <f>+IF($I284=BD$10,IF($L284=BD$11,#REF!,0),0)</f>
        <v>0</v>
      </c>
      <c r="BE284" s="463">
        <f>+IF($I284=BE$10,IF($L284=BE$11,#REF!,0),0)</f>
        <v>0</v>
      </c>
      <c r="BF284" s="464">
        <f>+IF($I284=BF$10,IF($L284=BF$11,#REF!,0),0)</f>
        <v>0</v>
      </c>
      <c r="BG284" s="464">
        <f>+IF($I284=BG$10,IF($L284=BG$11,#REF!,0),0)</f>
        <v>0</v>
      </c>
      <c r="BH284" s="464">
        <f>+IF($I284=BH$10,IF($L284=BH$11,#REF!,0),0)</f>
        <v>0</v>
      </c>
      <c r="BI284" s="464">
        <f>+IF($I284=BI$10,IF($L284=BI$11,#REF!,0),0)</f>
        <v>0</v>
      </c>
      <c r="BJ284" s="466">
        <f>+IF($I284=BJ$10,IF($L284=BJ$11,#REF!,0),0)</f>
        <v>0</v>
      </c>
    </row>
    <row r="285" spans="5:62" s="467" customFormat="1" ht="16.5" hidden="1" customHeight="1">
      <c r="E285" s="454" t="s">
        <v>1217</v>
      </c>
      <c r="F285" s="455"/>
      <c r="G285" s="456"/>
      <c r="H285" s="457" t="str">
        <f t="shared" si="68"/>
        <v>-</v>
      </c>
      <c r="I285" s="458" t="str">
        <f t="shared" si="47"/>
        <v>POSTE DE ALUMBRADO</v>
      </c>
      <c r="J285" s="566"/>
      <c r="K285" s="459" t="s">
        <v>1204</v>
      </c>
      <c r="L285" s="460" t="s">
        <v>1191</v>
      </c>
      <c r="M285" s="463">
        <f t="shared" si="69"/>
        <v>0</v>
      </c>
      <c r="N285" s="463">
        <f t="shared" si="69"/>
        <v>0</v>
      </c>
      <c r="O285" s="463">
        <f t="shared" si="69"/>
        <v>0</v>
      </c>
      <c r="P285" s="463">
        <f t="shared" si="69"/>
        <v>0</v>
      </c>
      <c r="Q285" s="463">
        <f t="shared" si="69"/>
        <v>0</v>
      </c>
      <c r="R285" s="463">
        <f t="shared" si="69"/>
        <v>0</v>
      </c>
      <c r="S285" s="463">
        <f t="shared" si="69"/>
        <v>0</v>
      </c>
      <c r="T285" s="463">
        <f t="shared" si="69"/>
        <v>0</v>
      </c>
      <c r="U285" s="463">
        <f t="shared" si="69"/>
        <v>0</v>
      </c>
      <c r="V285" s="463">
        <f t="shared" si="69"/>
        <v>0</v>
      </c>
      <c r="W285" s="463">
        <f t="shared" si="69"/>
        <v>0</v>
      </c>
      <c r="X285" s="463">
        <f t="shared" si="70"/>
        <v>0</v>
      </c>
      <c r="Y285" s="463">
        <f t="shared" si="70"/>
        <v>0</v>
      </c>
      <c r="Z285" s="463">
        <f t="shared" si="70"/>
        <v>0</v>
      </c>
      <c r="AA285" s="463">
        <f t="shared" si="70"/>
        <v>0</v>
      </c>
      <c r="AB285" s="463">
        <f t="shared" si="70"/>
        <v>1</v>
      </c>
      <c r="AC285" s="463">
        <f t="shared" si="70"/>
        <v>0</v>
      </c>
      <c r="AD285" s="463">
        <f t="shared" si="70"/>
        <v>0</v>
      </c>
      <c r="AE285" s="463">
        <f t="shared" si="70"/>
        <v>0</v>
      </c>
      <c r="AF285" s="621">
        <f t="shared" si="70"/>
        <v>0</v>
      </c>
      <c r="AG285" s="573"/>
      <c r="AH285" s="464"/>
      <c r="AI285" s="464"/>
      <c r="AJ285" s="464"/>
      <c r="AK285" s="464"/>
      <c r="AL285" s="465">
        <f>+IF($I285=AL$10,IF($L285=AL$11,#REF!,0),0)</f>
        <v>0</v>
      </c>
      <c r="AM285" s="463">
        <f>+IF($I285=AM$10,IF($L285=AM$11,#REF!,0),0)</f>
        <v>0</v>
      </c>
      <c r="AN285" s="464">
        <f>+IF($I285=AN$10,IF($L285=AN$11,#REF!,0),0)</f>
        <v>0</v>
      </c>
      <c r="AO285" s="464">
        <f>+IF($I285=AO$10,IF($L285=AO$11,#REF!,0),0)</f>
        <v>0</v>
      </c>
      <c r="AP285" s="464">
        <f>+IF($I285=AP$10,IF($L285=AP$11,#REF!,0),0)</f>
        <v>0</v>
      </c>
      <c r="AQ285" s="464">
        <f>+IF($I285=AQ$10,IF($L285=AQ$11,#REF!,0),0)</f>
        <v>0</v>
      </c>
      <c r="AR285" s="465">
        <f>+IF($I285=AR$10,IF($L285=AR$11,#REF!,0),0)</f>
        <v>0</v>
      </c>
      <c r="AS285" s="463">
        <f>+IF($I285=AS$10,IF($L285=AS$11,#REF!,0),0)</f>
        <v>0</v>
      </c>
      <c r="AT285" s="464">
        <f>+IF($I285=AT$10,IF($L285=AT$11,#REF!,0),0)</f>
        <v>0</v>
      </c>
      <c r="AU285" s="464">
        <f>+IF($I285=AU$10,IF($L285=AU$11,#REF!,0),0)</f>
        <v>0</v>
      </c>
      <c r="AV285" s="464">
        <f>+IF($I285=AV$10,IF($L285=AV$11,#REF!,0),0)</f>
        <v>0</v>
      </c>
      <c r="AW285" s="464">
        <f>+IF($I285=AW$10,IF($L285=AW$11,#REF!,0),0)</f>
        <v>0</v>
      </c>
      <c r="AX285" s="465">
        <f>+IF($I285=AX$10,IF($L285=AX$11,#REF!,0),0)</f>
        <v>0</v>
      </c>
      <c r="AY285" s="463">
        <f>+IF($I285=AY$10,IF($L285=AY$11,#REF!,0),0)</f>
        <v>0</v>
      </c>
      <c r="AZ285" s="464">
        <f>+IF($I285=AZ$10,IF($L285=AZ$11,#REF!,0),0)</f>
        <v>0</v>
      </c>
      <c r="BA285" s="464">
        <v>1</v>
      </c>
      <c r="BB285" s="464">
        <f>+IF($I285=BB$10,IF($L285=BB$11,#REF!,0),0)</f>
        <v>0</v>
      </c>
      <c r="BC285" s="464">
        <f>+IF($I285=BC$10,IF($L285=BC$11,#REF!,0),0)</f>
        <v>0</v>
      </c>
      <c r="BD285" s="465">
        <f>+IF($I285=BD$10,IF($L285=BD$11,#REF!,0),0)</f>
        <v>0</v>
      </c>
      <c r="BE285" s="463">
        <f>+IF($I285=BE$10,IF($L285=BE$11,#REF!,0),0)</f>
        <v>0</v>
      </c>
      <c r="BF285" s="464">
        <f>+IF($I285=BF$10,IF($L285=BF$11,#REF!,0),0)</f>
        <v>0</v>
      </c>
      <c r="BG285" s="464">
        <f>+IF($I285=BG$10,IF($L285=BG$11,#REF!,0),0)</f>
        <v>0</v>
      </c>
      <c r="BH285" s="464">
        <f>+IF($I285=BH$10,IF($L285=BH$11,#REF!,0),0)</f>
        <v>0</v>
      </c>
      <c r="BI285" s="464">
        <f>+IF($I285=BI$10,IF($L285=BI$11,#REF!,0),0)</f>
        <v>0</v>
      </c>
      <c r="BJ285" s="466">
        <f>+IF($I285=BJ$10,IF($L285=BJ$11,#REF!,0),0)</f>
        <v>0</v>
      </c>
    </row>
    <row r="286" spans="5:62" s="467" customFormat="1" ht="16.5" hidden="1" customHeight="1">
      <c r="E286" s="454" t="s">
        <v>1217</v>
      </c>
      <c r="F286" s="455"/>
      <c r="G286" s="456"/>
      <c r="H286" s="457" t="str">
        <f t="shared" si="68"/>
        <v>-</v>
      </c>
      <c r="I286" s="458" t="str">
        <f t="shared" si="47"/>
        <v>POSTE DE ALUMBRADO</v>
      </c>
      <c r="J286" s="566"/>
      <c r="K286" s="459" t="s">
        <v>1204</v>
      </c>
      <c r="L286" s="460" t="s">
        <v>1191</v>
      </c>
      <c r="M286" s="463">
        <f t="shared" si="69"/>
        <v>0</v>
      </c>
      <c r="N286" s="463">
        <f t="shared" si="69"/>
        <v>0</v>
      </c>
      <c r="O286" s="463">
        <f t="shared" si="69"/>
        <v>0</v>
      </c>
      <c r="P286" s="463">
        <f t="shared" si="69"/>
        <v>0</v>
      </c>
      <c r="Q286" s="463">
        <f t="shared" si="69"/>
        <v>0</v>
      </c>
      <c r="R286" s="463">
        <f t="shared" si="69"/>
        <v>0</v>
      </c>
      <c r="S286" s="463">
        <f t="shared" si="69"/>
        <v>0</v>
      </c>
      <c r="T286" s="463">
        <f t="shared" si="69"/>
        <v>0</v>
      </c>
      <c r="U286" s="463">
        <f t="shared" si="69"/>
        <v>0</v>
      </c>
      <c r="V286" s="463">
        <f t="shared" si="69"/>
        <v>0</v>
      </c>
      <c r="W286" s="463">
        <f t="shared" si="69"/>
        <v>0</v>
      </c>
      <c r="X286" s="463">
        <f t="shared" si="70"/>
        <v>0</v>
      </c>
      <c r="Y286" s="463">
        <f t="shared" si="70"/>
        <v>0</v>
      </c>
      <c r="Z286" s="463">
        <f t="shared" si="70"/>
        <v>0</v>
      </c>
      <c r="AA286" s="463">
        <f t="shared" si="70"/>
        <v>0</v>
      </c>
      <c r="AB286" s="463">
        <f t="shared" si="70"/>
        <v>1</v>
      </c>
      <c r="AC286" s="463">
        <f t="shared" si="70"/>
        <v>0</v>
      </c>
      <c r="AD286" s="463">
        <f t="shared" si="70"/>
        <v>0</v>
      </c>
      <c r="AE286" s="463">
        <f t="shared" si="70"/>
        <v>0</v>
      </c>
      <c r="AF286" s="621">
        <f t="shared" si="70"/>
        <v>0</v>
      </c>
      <c r="AG286" s="573"/>
      <c r="AH286" s="464"/>
      <c r="AI286" s="464"/>
      <c r="AJ286" s="464"/>
      <c r="AK286" s="464"/>
      <c r="AL286" s="465">
        <f>+IF($I286=AL$10,IF($L286=AL$11,#REF!,0),0)</f>
        <v>0</v>
      </c>
      <c r="AM286" s="463">
        <f>+IF($I286=AM$10,IF($L286=AM$11,#REF!,0),0)</f>
        <v>0</v>
      </c>
      <c r="AN286" s="464">
        <f>+IF($I286=AN$10,IF($L286=AN$11,#REF!,0),0)</f>
        <v>0</v>
      </c>
      <c r="AO286" s="464">
        <f>+IF($I286=AO$10,IF($L286=AO$11,#REF!,0),0)</f>
        <v>0</v>
      </c>
      <c r="AP286" s="464">
        <f>+IF($I286=AP$10,IF($L286=AP$11,#REF!,0),0)</f>
        <v>0</v>
      </c>
      <c r="AQ286" s="464">
        <f>+IF($I286=AQ$10,IF($L286=AQ$11,#REF!,0),0)</f>
        <v>0</v>
      </c>
      <c r="AR286" s="465">
        <f>+IF($I286=AR$10,IF($L286=AR$11,#REF!,0),0)</f>
        <v>0</v>
      </c>
      <c r="AS286" s="463">
        <f>+IF($I286=AS$10,IF($L286=AS$11,#REF!,0),0)</f>
        <v>0</v>
      </c>
      <c r="AT286" s="464">
        <f>+IF($I286=AT$10,IF($L286=AT$11,#REF!,0),0)</f>
        <v>0</v>
      </c>
      <c r="AU286" s="464">
        <f>+IF($I286=AU$10,IF($L286=AU$11,#REF!,0),0)</f>
        <v>0</v>
      </c>
      <c r="AV286" s="464">
        <f>+IF($I286=AV$10,IF($L286=AV$11,#REF!,0),0)</f>
        <v>0</v>
      </c>
      <c r="AW286" s="464">
        <f>+IF($I286=AW$10,IF($L286=AW$11,#REF!,0),0)</f>
        <v>0</v>
      </c>
      <c r="AX286" s="465">
        <f>+IF($I286=AX$10,IF($L286=AX$11,#REF!,0),0)</f>
        <v>0</v>
      </c>
      <c r="AY286" s="463">
        <f>+IF($I286=AY$10,IF($L286=AY$11,#REF!,0),0)</f>
        <v>0</v>
      </c>
      <c r="AZ286" s="464">
        <f>+IF($I286=AZ$10,IF($L286=AZ$11,#REF!,0),0)</f>
        <v>0</v>
      </c>
      <c r="BA286" s="464">
        <f>+IF($I286=BA$10,IF($L286=BA$11,#REF!,0),0)</f>
        <v>0</v>
      </c>
      <c r="BB286" s="464">
        <v>1</v>
      </c>
      <c r="BC286" s="464">
        <f>+IF($I286=BC$10,IF($L286=BC$11,#REF!,0),0)</f>
        <v>0</v>
      </c>
      <c r="BD286" s="465">
        <f>+IF($I286=BD$10,IF($L286=BD$11,#REF!,0),0)</f>
        <v>0</v>
      </c>
      <c r="BE286" s="463">
        <f>+IF($I286=BE$10,IF($L286=BE$11,#REF!,0),0)</f>
        <v>0</v>
      </c>
      <c r="BF286" s="464">
        <f>+IF($I286=BF$10,IF($L286=BF$11,#REF!,0),0)</f>
        <v>0</v>
      </c>
      <c r="BG286" s="464">
        <f>+IF($I286=BG$10,IF($L286=BG$11,#REF!,0),0)</f>
        <v>0</v>
      </c>
      <c r="BH286" s="464">
        <f>+IF($I286=BH$10,IF($L286=BH$11,#REF!,0),0)</f>
        <v>0</v>
      </c>
      <c r="BI286" s="464">
        <f>+IF($I286=BI$10,IF($L286=BI$11,#REF!,0),0)</f>
        <v>0</v>
      </c>
      <c r="BJ286" s="466">
        <f>+IF($I286=BJ$10,IF($L286=BJ$11,#REF!,0),0)</f>
        <v>0</v>
      </c>
    </row>
    <row r="287" spans="5:62" s="467" customFormat="1" ht="16.5" hidden="1" customHeight="1">
      <c r="E287" s="454" t="s">
        <v>1217</v>
      </c>
      <c r="F287" s="455"/>
      <c r="G287" s="456"/>
      <c r="H287" s="457" t="str">
        <f t="shared" si="68"/>
        <v>-</v>
      </c>
      <c r="I287" s="458" t="str">
        <f t="shared" si="47"/>
        <v>POSTE DE ALUMBRADO</v>
      </c>
      <c r="J287" s="566"/>
      <c r="K287" s="571" t="s">
        <v>1204</v>
      </c>
      <c r="L287" s="460" t="s">
        <v>1191</v>
      </c>
      <c r="M287" s="463">
        <f t="shared" si="69"/>
        <v>0</v>
      </c>
      <c r="N287" s="463">
        <f t="shared" si="69"/>
        <v>0</v>
      </c>
      <c r="O287" s="463">
        <f t="shared" si="69"/>
        <v>0</v>
      </c>
      <c r="P287" s="463">
        <f t="shared" si="69"/>
        <v>0</v>
      </c>
      <c r="Q287" s="463">
        <f t="shared" si="69"/>
        <v>0</v>
      </c>
      <c r="R287" s="463">
        <f t="shared" si="69"/>
        <v>0</v>
      </c>
      <c r="S287" s="463">
        <f t="shared" si="69"/>
        <v>0</v>
      </c>
      <c r="T287" s="463">
        <f t="shared" si="69"/>
        <v>0</v>
      </c>
      <c r="U287" s="463">
        <f t="shared" si="69"/>
        <v>0</v>
      </c>
      <c r="V287" s="463">
        <f t="shared" si="69"/>
        <v>0</v>
      </c>
      <c r="W287" s="463">
        <f t="shared" si="69"/>
        <v>0</v>
      </c>
      <c r="X287" s="463">
        <f t="shared" si="70"/>
        <v>0</v>
      </c>
      <c r="Y287" s="463">
        <f t="shared" si="70"/>
        <v>0</v>
      </c>
      <c r="Z287" s="463">
        <f t="shared" si="70"/>
        <v>0</v>
      </c>
      <c r="AA287" s="463">
        <f t="shared" si="70"/>
        <v>0</v>
      </c>
      <c r="AB287" s="463">
        <f t="shared" si="70"/>
        <v>1</v>
      </c>
      <c r="AC287" s="463">
        <f t="shared" si="70"/>
        <v>0</v>
      </c>
      <c r="AD287" s="463">
        <f t="shared" si="70"/>
        <v>0</v>
      </c>
      <c r="AE287" s="463">
        <f t="shared" si="70"/>
        <v>0</v>
      </c>
      <c r="AF287" s="621">
        <f t="shared" si="70"/>
        <v>0</v>
      </c>
      <c r="AG287" s="573"/>
      <c r="AH287" s="464"/>
      <c r="AI287" s="464"/>
      <c r="AJ287" s="464"/>
      <c r="AK287" s="464"/>
      <c r="AL287" s="465"/>
      <c r="AM287" s="463"/>
      <c r="AN287" s="464"/>
      <c r="AO287" s="464"/>
      <c r="AP287" s="464"/>
      <c r="AQ287" s="464"/>
      <c r="AR287" s="465"/>
      <c r="AS287" s="463"/>
      <c r="AT287" s="464"/>
      <c r="AU287" s="464"/>
      <c r="AV287" s="464"/>
      <c r="AW287" s="464"/>
      <c r="AX287" s="465"/>
      <c r="AY287" s="463"/>
      <c r="AZ287" s="464"/>
      <c r="BA287" s="464"/>
      <c r="BB287" s="464"/>
      <c r="BC287" s="464"/>
      <c r="BD287" s="465"/>
      <c r="BE287" s="463"/>
      <c r="BF287" s="464"/>
      <c r="BG287" s="464"/>
      <c r="BH287" s="464">
        <f>+IF($I287=BH$10,IF($L287=BH$11,#REF!,0),0)</f>
        <v>0</v>
      </c>
      <c r="BI287" s="464">
        <f>+IF($I287=BI$10,IF($L287=BI$11,#REF!,0),0)</f>
        <v>0</v>
      </c>
      <c r="BJ287" s="466">
        <f>+IF($I287=BJ$10,IF($L287=BJ$11,#REF!,0),0)</f>
        <v>0</v>
      </c>
    </row>
    <row r="288" spans="5:62" s="467" customFormat="1" ht="16.5" hidden="1" customHeight="1">
      <c r="E288" s="454" t="s">
        <v>1217</v>
      </c>
      <c r="F288" s="455"/>
      <c r="G288" s="456"/>
      <c r="H288" s="457" t="str">
        <f t="shared" si="68"/>
        <v>-</v>
      </c>
      <c r="I288" s="458" t="str">
        <f t="shared" si="47"/>
        <v>POSTE DE ALUMBRADO</v>
      </c>
      <c r="J288" s="566"/>
      <c r="K288" s="571" t="s">
        <v>1204</v>
      </c>
      <c r="L288" s="460" t="s">
        <v>1191</v>
      </c>
      <c r="M288" s="463">
        <f t="shared" si="69"/>
        <v>0</v>
      </c>
      <c r="N288" s="463">
        <f t="shared" si="69"/>
        <v>0</v>
      </c>
      <c r="O288" s="463">
        <f t="shared" si="69"/>
        <v>0</v>
      </c>
      <c r="P288" s="463">
        <f t="shared" si="69"/>
        <v>0</v>
      </c>
      <c r="Q288" s="463">
        <f t="shared" si="69"/>
        <v>0</v>
      </c>
      <c r="R288" s="463">
        <f t="shared" si="69"/>
        <v>0</v>
      </c>
      <c r="S288" s="463">
        <f t="shared" si="69"/>
        <v>0</v>
      </c>
      <c r="T288" s="463">
        <f t="shared" si="69"/>
        <v>0</v>
      </c>
      <c r="U288" s="463">
        <f t="shared" si="69"/>
        <v>0</v>
      </c>
      <c r="V288" s="463">
        <f t="shared" si="69"/>
        <v>0</v>
      </c>
      <c r="W288" s="463">
        <f t="shared" si="69"/>
        <v>0</v>
      </c>
      <c r="X288" s="463">
        <f t="shared" si="70"/>
        <v>0</v>
      </c>
      <c r="Y288" s="463">
        <f t="shared" si="70"/>
        <v>0</v>
      </c>
      <c r="Z288" s="463">
        <f t="shared" si="70"/>
        <v>0</v>
      </c>
      <c r="AA288" s="463">
        <f t="shared" si="70"/>
        <v>0</v>
      </c>
      <c r="AB288" s="463">
        <f t="shared" si="70"/>
        <v>1</v>
      </c>
      <c r="AC288" s="463">
        <f t="shared" si="70"/>
        <v>0</v>
      </c>
      <c r="AD288" s="463">
        <f t="shared" si="70"/>
        <v>0</v>
      </c>
      <c r="AE288" s="463">
        <f t="shared" si="70"/>
        <v>0</v>
      </c>
      <c r="AF288" s="621">
        <f t="shared" si="70"/>
        <v>0</v>
      </c>
      <c r="AG288" s="573"/>
      <c r="AH288" s="464"/>
      <c r="AI288" s="464"/>
      <c r="AJ288" s="464"/>
      <c r="AK288" s="464"/>
      <c r="AL288" s="465"/>
      <c r="AM288" s="463"/>
      <c r="AN288" s="464"/>
      <c r="AO288" s="464"/>
      <c r="AP288" s="464"/>
      <c r="AQ288" s="464"/>
      <c r="AR288" s="465"/>
      <c r="AS288" s="463"/>
      <c r="AT288" s="464"/>
      <c r="AU288" s="464"/>
      <c r="AV288" s="464"/>
      <c r="AW288" s="464"/>
      <c r="AX288" s="465"/>
      <c r="AY288" s="463"/>
      <c r="AZ288" s="464"/>
      <c r="BA288" s="464"/>
      <c r="BB288" s="464"/>
      <c r="BC288" s="464"/>
      <c r="BD288" s="465"/>
      <c r="BE288" s="463"/>
      <c r="BF288" s="464"/>
      <c r="BG288" s="464"/>
      <c r="BH288" s="464">
        <f>+IF($I288=BH$10,IF($L288=BH$11,#REF!,0),0)</f>
        <v>0</v>
      </c>
      <c r="BI288" s="464">
        <f>+IF($I288=BI$10,IF($L288=BI$11,#REF!,0),0)</f>
        <v>0</v>
      </c>
      <c r="BJ288" s="466">
        <f>+IF($I288=BJ$10,IF($L288=BJ$11,#REF!,0),0)</f>
        <v>0</v>
      </c>
    </row>
    <row r="289" spans="5:62" s="467" customFormat="1" ht="16.5" hidden="1" customHeight="1">
      <c r="E289" s="454" t="s">
        <v>1217</v>
      </c>
      <c r="F289" s="455"/>
      <c r="G289" s="456"/>
      <c r="H289" s="457" t="str">
        <f t="shared" si="68"/>
        <v>-</v>
      </c>
      <c r="I289" s="458" t="str">
        <f t="shared" si="47"/>
        <v>POSTE DE ALUMBRADO</v>
      </c>
      <c r="J289" s="566"/>
      <c r="K289" s="459" t="s">
        <v>1204</v>
      </c>
      <c r="L289" s="460" t="s">
        <v>1191</v>
      </c>
      <c r="M289" s="463">
        <f t="shared" si="69"/>
        <v>0</v>
      </c>
      <c r="N289" s="463">
        <f t="shared" si="69"/>
        <v>0</v>
      </c>
      <c r="O289" s="463">
        <f t="shared" si="69"/>
        <v>0</v>
      </c>
      <c r="P289" s="463">
        <f t="shared" si="69"/>
        <v>0</v>
      </c>
      <c r="Q289" s="463">
        <f t="shared" si="69"/>
        <v>0</v>
      </c>
      <c r="R289" s="463">
        <f t="shared" si="69"/>
        <v>0</v>
      </c>
      <c r="S289" s="463">
        <f t="shared" si="69"/>
        <v>0</v>
      </c>
      <c r="T289" s="463">
        <f t="shared" si="69"/>
        <v>0</v>
      </c>
      <c r="U289" s="463">
        <f t="shared" si="69"/>
        <v>0</v>
      </c>
      <c r="V289" s="463">
        <f t="shared" si="69"/>
        <v>0</v>
      </c>
      <c r="W289" s="463">
        <f t="shared" si="69"/>
        <v>0</v>
      </c>
      <c r="X289" s="463">
        <f t="shared" si="70"/>
        <v>0</v>
      </c>
      <c r="Y289" s="463">
        <f t="shared" si="70"/>
        <v>0</v>
      </c>
      <c r="Z289" s="463">
        <f t="shared" si="70"/>
        <v>0</v>
      </c>
      <c r="AA289" s="463">
        <f t="shared" si="70"/>
        <v>0</v>
      </c>
      <c r="AB289" s="463">
        <f t="shared" si="70"/>
        <v>1</v>
      </c>
      <c r="AC289" s="463">
        <f t="shared" si="70"/>
        <v>0</v>
      </c>
      <c r="AD289" s="463">
        <f t="shared" si="70"/>
        <v>0</v>
      </c>
      <c r="AE289" s="463">
        <f t="shared" si="70"/>
        <v>0</v>
      </c>
      <c r="AF289" s="621">
        <f t="shared" si="70"/>
        <v>0</v>
      </c>
      <c r="AG289" s="573"/>
      <c r="AH289" s="464"/>
      <c r="AI289" s="464"/>
      <c r="AJ289" s="464"/>
      <c r="AK289" s="464"/>
      <c r="AL289" s="465">
        <f>+IF($I289=AL$10,IF($L289=AL$11,#REF!,0),0)</f>
        <v>0</v>
      </c>
      <c r="AM289" s="463">
        <f>+IF($I289=AM$10,IF($L289=AM$11,#REF!,0),0)</f>
        <v>0</v>
      </c>
      <c r="AN289" s="464">
        <f>+IF($I289=AN$10,IF($L289=AN$11,#REF!,0),0)</f>
        <v>0</v>
      </c>
      <c r="AO289" s="464">
        <f>+IF($I289=AO$10,IF($L289=AO$11,#REF!,0),0)</f>
        <v>0</v>
      </c>
      <c r="AP289" s="464">
        <f>+IF($I289=AP$10,IF($L289=AP$11,#REF!,0),0)</f>
        <v>0</v>
      </c>
      <c r="AQ289" s="464">
        <f>+IF($I289=AQ$10,IF($L289=AQ$11,#REF!,0),0)</f>
        <v>0</v>
      </c>
      <c r="AR289" s="465">
        <f>+IF($I289=AR$10,IF($L289=AR$11,#REF!,0),0)</f>
        <v>0</v>
      </c>
      <c r="AS289" s="463">
        <f>+IF($I289=AS$10,IF($L289=AS$11,#REF!,0),0)</f>
        <v>0</v>
      </c>
      <c r="AT289" s="464">
        <f>+IF($I289=AT$10,IF($L289=AT$11,#REF!,0),0)</f>
        <v>0</v>
      </c>
      <c r="AU289" s="464">
        <f>+IF($I289=AU$10,IF($L289=AU$11,#REF!,0),0)</f>
        <v>0</v>
      </c>
      <c r="AV289" s="464">
        <f>+IF($I289=AV$10,IF($L289=AV$11,#REF!,0),0)</f>
        <v>0</v>
      </c>
      <c r="AW289" s="464">
        <f>+IF($I289=AW$10,IF($L289=AW$11,#REF!,0),0)</f>
        <v>0</v>
      </c>
      <c r="AX289" s="465">
        <f>+IF($I289=AX$10,IF($L289=AX$11,#REF!,0),0)</f>
        <v>0</v>
      </c>
      <c r="AY289" s="463">
        <f>+IF($I289=AY$10,IF($L289=AY$11,#REF!,0),0)</f>
        <v>0</v>
      </c>
      <c r="AZ289" s="464">
        <f>+IF($I289=AZ$10,IF($L289=AZ$11,#REF!,0),0)</f>
        <v>0</v>
      </c>
      <c r="BA289" s="464">
        <f>+IF($I289=BA$10,IF($L289=BA$11,#REF!,0),0)</f>
        <v>0</v>
      </c>
      <c r="BB289" s="464">
        <f>+IF($I289=BB$10,IF($L289=BB$11,#REF!,0),0)</f>
        <v>0</v>
      </c>
      <c r="BC289" s="464">
        <f>+IF($I289=BC$10,IF($L289=BC$11,#REF!,0),0)</f>
        <v>0</v>
      </c>
      <c r="BD289" s="465">
        <f>+IF($I289=BD$10,IF($L289=BD$11,#REF!,0),0)</f>
        <v>0</v>
      </c>
      <c r="BE289" s="463">
        <f>+IF($I289=BE$10,IF($L289=BE$11,#REF!,0),0)</f>
        <v>0</v>
      </c>
      <c r="BF289" s="464">
        <f>+IF($I289=BF$10,IF($L289=BF$11,#REF!,0),0)</f>
        <v>0</v>
      </c>
      <c r="BG289" s="464">
        <f>+IF($I289=BG$10,IF($L289=BG$11,#REF!,0),0)</f>
        <v>0</v>
      </c>
      <c r="BH289" s="464">
        <f>+IF($I289=BH$10,IF($L289=BH$11,#REF!,0),0)</f>
        <v>0</v>
      </c>
      <c r="BI289" s="464">
        <f>+IF($I289=BI$10,IF($L289=BI$11,#REF!,0),0)</f>
        <v>0</v>
      </c>
      <c r="BJ289" s="466">
        <f>+IF($I289=BJ$10,IF($L289=BJ$11,#REF!,0),0)</f>
        <v>0</v>
      </c>
    </row>
    <row r="290" spans="5:62" s="467" customFormat="1" ht="16.5" hidden="1" customHeight="1">
      <c r="E290" s="454" t="s">
        <v>1217</v>
      </c>
      <c r="F290" s="455"/>
      <c r="G290" s="456"/>
      <c r="H290" s="457" t="str">
        <f t="shared" si="68"/>
        <v>-</v>
      </c>
      <c r="I290" s="458" t="str">
        <f t="shared" si="47"/>
        <v>POSTE DE ALUMBRADO</v>
      </c>
      <c r="J290" s="566"/>
      <c r="K290" s="459" t="s">
        <v>1204</v>
      </c>
      <c r="L290" s="460" t="s">
        <v>1191</v>
      </c>
      <c r="M290" s="463">
        <f t="shared" si="69"/>
        <v>0</v>
      </c>
      <c r="N290" s="463">
        <f t="shared" si="69"/>
        <v>0</v>
      </c>
      <c r="O290" s="463">
        <f t="shared" si="69"/>
        <v>0</v>
      </c>
      <c r="P290" s="463">
        <f t="shared" si="69"/>
        <v>0</v>
      </c>
      <c r="Q290" s="463">
        <f t="shared" si="69"/>
        <v>0</v>
      </c>
      <c r="R290" s="463">
        <f t="shared" si="69"/>
        <v>0</v>
      </c>
      <c r="S290" s="463">
        <f t="shared" si="69"/>
        <v>0</v>
      </c>
      <c r="T290" s="463">
        <f t="shared" si="69"/>
        <v>0</v>
      </c>
      <c r="U290" s="463">
        <f t="shared" si="69"/>
        <v>0</v>
      </c>
      <c r="V290" s="463">
        <f t="shared" si="69"/>
        <v>0</v>
      </c>
      <c r="W290" s="463">
        <f t="shared" si="69"/>
        <v>0</v>
      </c>
      <c r="X290" s="463">
        <f t="shared" si="70"/>
        <v>0</v>
      </c>
      <c r="Y290" s="463">
        <f t="shared" si="70"/>
        <v>0</v>
      </c>
      <c r="Z290" s="463">
        <f t="shared" si="70"/>
        <v>0</v>
      </c>
      <c r="AA290" s="463">
        <f t="shared" si="70"/>
        <v>0</v>
      </c>
      <c r="AB290" s="463">
        <f t="shared" si="70"/>
        <v>1</v>
      </c>
      <c r="AC290" s="463">
        <f t="shared" si="70"/>
        <v>0</v>
      </c>
      <c r="AD290" s="463">
        <f t="shared" si="70"/>
        <v>0</v>
      </c>
      <c r="AE290" s="463">
        <f t="shared" si="70"/>
        <v>0</v>
      </c>
      <c r="AF290" s="621">
        <f t="shared" si="70"/>
        <v>0</v>
      </c>
      <c r="AG290" s="573"/>
      <c r="AH290" s="464"/>
      <c r="AI290" s="464"/>
      <c r="AJ290" s="464"/>
      <c r="AK290" s="464"/>
      <c r="AL290" s="465">
        <f>+IF($I290=AL$10,IF($L290=AL$11,#REF!,0),0)</f>
        <v>0</v>
      </c>
      <c r="AM290" s="463">
        <f>+IF($I290=AM$10,IF($L290=AM$11,#REF!,0),0)</f>
        <v>0</v>
      </c>
      <c r="AN290" s="464">
        <f>+IF($I290=AN$10,IF($L290=AN$11,#REF!,0),0)</f>
        <v>0</v>
      </c>
      <c r="AO290" s="464">
        <f>+IF($I290=AO$10,IF($L290=AO$11,#REF!,0),0)</f>
        <v>0</v>
      </c>
      <c r="AP290" s="464">
        <f>+IF($I290=AP$10,IF($L290=AP$11,#REF!,0),0)</f>
        <v>0</v>
      </c>
      <c r="AQ290" s="464">
        <f>+IF($I290=AQ$10,IF($L290=AQ$11,#REF!,0),0)</f>
        <v>0</v>
      </c>
      <c r="AR290" s="465">
        <f>+IF($I290=AR$10,IF($L290=AR$11,#REF!,0),0)</f>
        <v>0</v>
      </c>
      <c r="AS290" s="463">
        <f>+IF($I290=AS$10,IF($L290=AS$11,#REF!,0),0)</f>
        <v>0</v>
      </c>
      <c r="AT290" s="464">
        <f>+IF($I290=AT$10,IF($L290=AT$11,#REF!,0),0)</f>
        <v>0</v>
      </c>
      <c r="AU290" s="464">
        <f>+IF($I290=AU$10,IF($L290=AU$11,#REF!,0),0)</f>
        <v>0</v>
      </c>
      <c r="AV290" s="464">
        <f>+IF($I290=AV$10,IF($L290=AV$11,#REF!,0),0)</f>
        <v>0</v>
      </c>
      <c r="AW290" s="464">
        <f>+IF($I290=AW$10,IF($L290=AW$11,#REF!,0),0)</f>
        <v>0</v>
      </c>
      <c r="AX290" s="465">
        <f>+IF($I290=AX$10,IF($L290=AX$11,#REF!,0),0)</f>
        <v>0</v>
      </c>
      <c r="AY290" s="463">
        <f>+IF($I290=AY$10,IF($L290=AY$11,#REF!,0),0)</f>
        <v>0</v>
      </c>
      <c r="AZ290" s="464">
        <f>+IF($I290=AZ$10,IF($L290=AZ$11,#REF!,0),0)</f>
        <v>0</v>
      </c>
      <c r="BA290" s="464">
        <f>+IF($I290=BA$10,IF($L290=BA$11,#REF!,0),0)</f>
        <v>0</v>
      </c>
      <c r="BB290" s="464">
        <f>+IF($I290=BB$10,IF($L290=BB$11,#REF!,0),0)</f>
        <v>0</v>
      </c>
      <c r="BC290" s="464">
        <f>+IF($I290=BC$10,IF($L290=BC$11,#REF!,0),0)</f>
        <v>0</v>
      </c>
      <c r="BD290" s="465">
        <f>+IF($I290=BD$10,IF($L290=BD$11,#REF!,0),0)</f>
        <v>0</v>
      </c>
      <c r="BE290" s="463">
        <f>+IF($I290=BE$10,IF($L290=BE$11,#REF!,0),0)</f>
        <v>0</v>
      </c>
      <c r="BF290" s="464">
        <f>+IF($I290=BF$10,IF($L290=BF$11,#REF!,0),0)</f>
        <v>0</v>
      </c>
      <c r="BG290" s="464">
        <f>+IF($I290=BG$10,IF($L290=BG$11,#REF!,0),0)</f>
        <v>0</v>
      </c>
      <c r="BH290" s="464">
        <f>+IF($I290=BH$10,IF($L290=BH$11,#REF!,0),0)</f>
        <v>0</v>
      </c>
      <c r="BI290" s="464">
        <f>+IF($I290=BI$10,IF($L290=BI$11,#REF!,0),0)</f>
        <v>0</v>
      </c>
      <c r="BJ290" s="466">
        <f>+IF($I290=BJ$10,IF($L290=BJ$11,#REF!,0),0)</f>
        <v>0</v>
      </c>
    </row>
    <row r="291" spans="5:62" s="467" customFormat="1" ht="16.5" hidden="1" customHeight="1">
      <c r="E291" s="454" t="s">
        <v>1217</v>
      </c>
      <c r="F291" s="455"/>
      <c r="G291" s="456"/>
      <c r="H291" s="457" t="str">
        <f t="shared" ref="H291:H292" si="71">+CONCATENATE(F291,"-",G291)</f>
        <v>-</v>
      </c>
      <c r="I291" s="458" t="str">
        <f t="shared" ref="I291:I292" si="72">+IF(K291="PT","POSTE DE TELEFONO",IF(K291="PL","POSTE DE ALUMBRADO",IF(K291="PMT","POSTE DE MEDIA TENSIÓN",0)))</f>
        <v>POSTE DE ALUMBRADO</v>
      </c>
      <c r="J291" s="566"/>
      <c r="K291" s="459" t="s">
        <v>1204</v>
      </c>
      <c r="L291" s="460" t="s">
        <v>1191</v>
      </c>
      <c r="M291" s="463">
        <f t="shared" si="69"/>
        <v>0</v>
      </c>
      <c r="N291" s="463">
        <f t="shared" si="69"/>
        <v>0</v>
      </c>
      <c r="O291" s="463">
        <f t="shared" si="69"/>
        <v>0</v>
      </c>
      <c r="P291" s="463">
        <f t="shared" si="69"/>
        <v>0</v>
      </c>
      <c r="Q291" s="463">
        <f t="shared" si="69"/>
        <v>0</v>
      </c>
      <c r="R291" s="463">
        <f t="shared" si="69"/>
        <v>0</v>
      </c>
      <c r="S291" s="463">
        <f t="shared" si="69"/>
        <v>0</v>
      </c>
      <c r="T291" s="463">
        <f t="shared" si="69"/>
        <v>0</v>
      </c>
      <c r="U291" s="463">
        <f t="shared" si="69"/>
        <v>0</v>
      </c>
      <c r="V291" s="463">
        <f t="shared" si="69"/>
        <v>0</v>
      </c>
      <c r="W291" s="463">
        <f t="shared" si="69"/>
        <v>0</v>
      </c>
      <c r="X291" s="463">
        <f t="shared" si="70"/>
        <v>0</v>
      </c>
      <c r="Y291" s="463">
        <f t="shared" si="70"/>
        <v>0</v>
      </c>
      <c r="Z291" s="463">
        <f t="shared" si="70"/>
        <v>0</v>
      </c>
      <c r="AA291" s="463">
        <f t="shared" si="70"/>
        <v>0</v>
      </c>
      <c r="AB291" s="463">
        <f t="shared" si="70"/>
        <v>1</v>
      </c>
      <c r="AC291" s="463">
        <f t="shared" si="70"/>
        <v>0</v>
      </c>
      <c r="AD291" s="463">
        <f t="shared" si="70"/>
        <v>0</v>
      </c>
      <c r="AE291" s="463">
        <f t="shared" si="70"/>
        <v>0</v>
      </c>
      <c r="AF291" s="621">
        <f t="shared" si="70"/>
        <v>0</v>
      </c>
      <c r="AG291" s="573"/>
      <c r="AH291" s="464"/>
      <c r="AI291" s="464"/>
      <c r="AJ291" s="464"/>
      <c r="AK291" s="464"/>
      <c r="AL291" s="465">
        <f>+IF($I291=AL$10,IF($L291=AL$11,#REF!,0),0)</f>
        <v>0</v>
      </c>
      <c r="AM291" s="463">
        <f>+IF($I291=AM$10,IF($L291=AM$11,#REF!,0),0)</f>
        <v>0</v>
      </c>
      <c r="AN291" s="464">
        <f>+IF($I291=AN$10,IF($L291=AN$11,#REF!,0),0)</f>
        <v>0</v>
      </c>
      <c r="AO291" s="464">
        <f>+IF($I291=AO$10,IF($L291=AO$11,#REF!,0),0)</f>
        <v>0</v>
      </c>
      <c r="AP291" s="464">
        <f>+IF($I291=AP$10,IF($L291=AP$11,#REF!,0),0)</f>
        <v>0</v>
      </c>
      <c r="AQ291" s="464">
        <f>+IF($I291=AQ$10,IF($L291=AQ$11,#REF!,0),0)</f>
        <v>0</v>
      </c>
      <c r="AR291" s="465">
        <f>+IF($I291=AR$10,IF($L291=AR$11,#REF!,0),0)</f>
        <v>0</v>
      </c>
      <c r="AS291" s="463">
        <f>+IF($I291=AS$10,IF($L291=AS$11,#REF!,0),0)</f>
        <v>0</v>
      </c>
      <c r="AT291" s="464">
        <f>+IF($I291=AT$10,IF($L291=AT$11,#REF!,0),0)</f>
        <v>0</v>
      </c>
      <c r="AU291" s="464">
        <f>+IF($I291=AU$10,IF($L291=AU$11,#REF!,0),0)</f>
        <v>0</v>
      </c>
      <c r="AV291" s="464">
        <f>+IF($I291=AV$10,IF($L291=AV$11,#REF!,0),0)</f>
        <v>0</v>
      </c>
      <c r="AW291" s="464">
        <f>+IF($I291=AW$10,IF($L291=AW$11,#REF!,0),0)</f>
        <v>0</v>
      </c>
      <c r="AX291" s="465">
        <f>+IF($I291=AX$10,IF($L291=AX$11,#REF!,0),0)</f>
        <v>0</v>
      </c>
      <c r="AY291" s="463">
        <f>+IF($I291=AY$10,IF($L291=AY$11,#REF!,0),0)</f>
        <v>0</v>
      </c>
      <c r="AZ291" s="464">
        <f>+IF($I291=AZ$10,IF($L291=AZ$11,#REF!,0),0)</f>
        <v>0</v>
      </c>
      <c r="BA291" s="464">
        <f>+IF($I291=BA$10,IF($L291=BA$11,#REF!,0),0)</f>
        <v>0</v>
      </c>
      <c r="BB291" s="464">
        <f>+IF($I291=BB$10,IF($L291=BB$11,#REF!,0),0)</f>
        <v>0</v>
      </c>
      <c r="BC291" s="464">
        <f>+IF($I291=BC$10,IF($L291=BC$11,#REF!,0),0)</f>
        <v>0</v>
      </c>
      <c r="BD291" s="465">
        <f>+IF($I291=BD$10,IF($L291=BD$11,#REF!,0),0)</f>
        <v>0</v>
      </c>
      <c r="BE291" s="463">
        <f>+IF($I291=BE$10,IF($L291=BE$11,#REF!,0),0)</f>
        <v>0</v>
      </c>
      <c r="BF291" s="464">
        <f>+IF($I291=BF$10,IF($L291=BF$11,#REF!,0),0)</f>
        <v>0</v>
      </c>
      <c r="BG291" s="464">
        <f>+IF($I291=BG$10,IF($L291=BG$11,#REF!,0),0)</f>
        <v>0</v>
      </c>
      <c r="BH291" s="464">
        <f>+IF($I291=BH$10,IF($L291=BH$11,#REF!,0),0)</f>
        <v>0</v>
      </c>
      <c r="BI291" s="464">
        <f>+IF($I291=BI$10,IF($L291=BI$11,#REF!,0),0)</f>
        <v>0</v>
      </c>
      <c r="BJ291" s="466">
        <f>+IF($I291=BJ$10,IF($L291=BJ$11,#REF!,0),0)</f>
        <v>0</v>
      </c>
    </row>
    <row r="292" spans="5:62" s="467" customFormat="1" ht="16.5" hidden="1" customHeight="1">
      <c r="E292" s="454" t="s">
        <v>1217</v>
      </c>
      <c r="F292" s="455"/>
      <c r="G292" s="456"/>
      <c r="H292" s="457" t="str">
        <f t="shared" si="71"/>
        <v>-</v>
      </c>
      <c r="I292" s="458" t="str">
        <f t="shared" si="72"/>
        <v>POSTE DE ALUMBRADO</v>
      </c>
      <c r="J292" s="566"/>
      <c r="K292" s="459" t="s">
        <v>1204</v>
      </c>
      <c r="L292" s="460" t="s">
        <v>1191</v>
      </c>
      <c r="M292" s="463">
        <f t="shared" si="69"/>
        <v>0</v>
      </c>
      <c r="N292" s="463">
        <f t="shared" si="69"/>
        <v>0</v>
      </c>
      <c r="O292" s="463">
        <f t="shared" si="69"/>
        <v>0</v>
      </c>
      <c r="P292" s="463">
        <f t="shared" si="69"/>
        <v>0</v>
      </c>
      <c r="Q292" s="463">
        <f t="shared" si="69"/>
        <v>0</v>
      </c>
      <c r="R292" s="463">
        <f t="shared" si="69"/>
        <v>0</v>
      </c>
      <c r="S292" s="463">
        <f t="shared" si="69"/>
        <v>0</v>
      </c>
      <c r="T292" s="463">
        <f t="shared" si="69"/>
        <v>0</v>
      </c>
      <c r="U292" s="463">
        <f t="shared" si="69"/>
        <v>0</v>
      </c>
      <c r="V292" s="463">
        <f t="shared" si="69"/>
        <v>0</v>
      </c>
      <c r="W292" s="463">
        <f t="shared" si="69"/>
        <v>0</v>
      </c>
      <c r="X292" s="463">
        <f t="shared" si="69"/>
        <v>0</v>
      </c>
      <c r="Y292" s="463">
        <f t="shared" si="69"/>
        <v>0</v>
      </c>
      <c r="Z292" s="463">
        <f t="shared" si="69"/>
        <v>0</v>
      </c>
      <c r="AA292" s="463">
        <f t="shared" si="69"/>
        <v>0</v>
      </c>
      <c r="AB292" s="463">
        <f t="shared" si="69"/>
        <v>1</v>
      </c>
      <c r="AC292" s="463">
        <f t="shared" ref="X292:AF298" si="73">+IF($L292=AC$10,IF($K292=AC$11,1,0),0)</f>
        <v>0</v>
      </c>
      <c r="AD292" s="463">
        <f t="shared" si="73"/>
        <v>0</v>
      </c>
      <c r="AE292" s="463">
        <f t="shared" si="73"/>
        <v>0</v>
      </c>
      <c r="AF292" s="621">
        <f t="shared" si="73"/>
        <v>0</v>
      </c>
      <c r="AG292" s="573"/>
      <c r="AH292" s="464"/>
      <c r="AI292" s="464"/>
      <c r="AJ292" s="464"/>
      <c r="AK292" s="464"/>
      <c r="AL292" s="465">
        <f>+IF($I292=AL$10,IF($L292=AL$11,#REF!,0),0)</f>
        <v>0</v>
      </c>
      <c r="AM292" s="463">
        <f>+IF($I292=AM$10,IF($L292=AM$11,#REF!,0),0)</f>
        <v>0</v>
      </c>
      <c r="AN292" s="464">
        <f>+IF($I292=AN$10,IF($L292=AN$11,#REF!,0),0)</f>
        <v>0</v>
      </c>
      <c r="AO292" s="464">
        <f>+IF($I292=AO$10,IF($L292=AO$11,#REF!,0),0)</f>
        <v>0</v>
      </c>
      <c r="AP292" s="464">
        <f>+IF($I292=AP$10,IF($L292=AP$11,#REF!,0),0)</f>
        <v>0</v>
      </c>
      <c r="AQ292" s="464">
        <f>+IF($I292=AQ$10,IF($L292=AQ$11,#REF!,0),0)</f>
        <v>0</v>
      </c>
      <c r="AR292" s="465">
        <f>+IF($I292=AR$10,IF($L292=AR$11,#REF!,0),0)</f>
        <v>0</v>
      </c>
      <c r="AS292" s="463">
        <f>+IF($I292=AS$10,IF($L292=AS$11,#REF!,0),0)</f>
        <v>0</v>
      </c>
      <c r="AT292" s="464">
        <f>+IF($I292=AT$10,IF($L292=AT$11,#REF!,0),0)</f>
        <v>0</v>
      </c>
      <c r="AU292" s="464">
        <f>+IF($I292=AU$10,IF($L292=AU$11,#REF!,0),0)</f>
        <v>0</v>
      </c>
      <c r="AV292" s="464">
        <f>+IF($I292=AV$10,IF($L292=AV$11,#REF!,0),0)</f>
        <v>0</v>
      </c>
      <c r="AW292" s="464">
        <f>+IF($I292=AW$10,IF($L292=AW$11,#REF!,0),0)</f>
        <v>0</v>
      </c>
      <c r="AX292" s="465">
        <f>+IF($I292=AX$10,IF($L292=AX$11,#REF!,0),0)</f>
        <v>0</v>
      </c>
      <c r="AY292" s="463">
        <f>+IF($I292=AY$10,IF($L292=AY$11,#REF!,0),0)</f>
        <v>0</v>
      </c>
      <c r="AZ292" s="464">
        <f>+IF($I292=AZ$10,IF($L292=AZ$11,#REF!,0),0)</f>
        <v>0</v>
      </c>
      <c r="BA292" s="464">
        <f>+IF($I292=BA$10,IF($L292=BA$11,#REF!,0),0)</f>
        <v>0</v>
      </c>
      <c r="BB292" s="464">
        <f>+IF($I292=BB$10,IF($L292=BB$11,#REF!,0),0)</f>
        <v>0</v>
      </c>
      <c r="BC292" s="464">
        <f>+IF($I292=BC$10,IF($L292=BC$11,#REF!,0),0)</f>
        <v>0</v>
      </c>
      <c r="BD292" s="465">
        <f>+IF($I292=BD$10,IF($L292=BD$11,#REF!,0),0)</f>
        <v>0</v>
      </c>
      <c r="BE292" s="463">
        <f>+IF($I292=BE$10,IF($L292=BE$11,#REF!,0),0)</f>
        <v>0</v>
      </c>
      <c r="BF292" s="464">
        <f>+IF($I292=BF$10,IF($L292=BF$11,#REF!,0),0)</f>
        <v>0</v>
      </c>
      <c r="BG292" s="464">
        <f>+IF($I292=BG$10,IF($L292=BG$11,#REF!,0),0)</f>
        <v>0</v>
      </c>
      <c r="BH292" s="464">
        <f>+IF($I292=BH$10,IF($L292=BH$11,#REF!,0),0)</f>
        <v>0</v>
      </c>
      <c r="BI292" s="464">
        <f>+IF($I292=BI$10,IF($L292=BI$11,#REF!,0),0)</f>
        <v>0</v>
      </c>
      <c r="BJ292" s="466">
        <f>+IF($I292=BJ$10,IF($L292=BJ$11,#REF!,0),0)</f>
        <v>0</v>
      </c>
    </row>
    <row r="293" spans="5:62" s="467" customFormat="1" ht="16.5" hidden="1" customHeight="1">
      <c r="E293" s="454" t="s">
        <v>1217</v>
      </c>
      <c r="F293" s="455"/>
      <c r="G293" s="456"/>
      <c r="H293" s="457" t="str">
        <f t="shared" si="68"/>
        <v>-</v>
      </c>
      <c r="I293" s="458" t="str">
        <f t="shared" si="47"/>
        <v>POSTE DE ALUMBRADO</v>
      </c>
      <c r="J293" s="566"/>
      <c r="K293" s="459" t="s">
        <v>1204</v>
      </c>
      <c r="L293" s="460" t="s">
        <v>1191</v>
      </c>
      <c r="M293" s="463">
        <f t="shared" si="69"/>
        <v>0</v>
      </c>
      <c r="N293" s="463">
        <f t="shared" si="69"/>
        <v>0</v>
      </c>
      <c r="O293" s="463">
        <f t="shared" si="69"/>
        <v>0</v>
      </c>
      <c r="P293" s="463">
        <f t="shared" si="69"/>
        <v>0</v>
      </c>
      <c r="Q293" s="463">
        <f t="shared" si="69"/>
        <v>0</v>
      </c>
      <c r="R293" s="463">
        <f t="shared" si="69"/>
        <v>0</v>
      </c>
      <c r="S293" s="463">
        <f t="shared" si="69"/>
        <v>0</v>
      </c>
      <c r="T293" s="463">
        <f t="shared" si="69"/>
        <v>0</v>
      </c>
      <c r="U293" s="463">
        <f t="shared" si="69"/>
        <v>0</v>
      </c>
      <c r="V293" s="463">
        <f t="shared" si="69"/>
        <v>0</v>
      </c>
      <c r="W293" s="463">
        <f t="shared" si="69"/>
        <v>0</v>
      </c>
      <c r="X293" s="463">
        <f t="shared" si="70"/>
        <v>0</v>
      </c>
      <c r="Y293" s="463">
        <f t="shared" si="70"/>
        <v>0</v>
      </c>
      <c r="Z293" s="463">
        <f t="shared" si="70"/>
        <v>0</v>
      </c>
      <c r="AA293" s="463">
        <f t="shared" si="70"/>
        <v>0</v>
      </c>
      <c r="AB293" s="463">
        <f t="shared" si="70"/>
        <v>1</v>
      </c>
      <c r="AC293" s="463">
        <f t="shared" si="70"/>
        <v>0</v>
      </c>
      <c r="AD293" s="463">
        <f t="shared" si="70"/>
        <v>0</v>
      </c>
      <c r="AE293" s="463">
        <f t="shared" si="70"/>
        <v>0</v>
      </c>
      <c r="AF293" s="621">
        <f t="shared" si="70"/>
        <v>0</v>
      </c>
      <c r="AG293" s="573"/>
      <c r="AH293" s="464"/>
      <c r="AI293" s="464"/>
      <c r="AJ293" s="464"/>
      <c r="AK293" s="464"/>
      <c r="AL293" s="465">
        <f>+IF($I293=AL$10,IF($L293=AL$11,#REF!,0),0)</f>
        <v>0</v>
      </c>
      <c r="AM293" s="463">
        <f>+IF($I293=AM$10,IF($L293=AM$11,#REF!,0),0)</f>
        <v>0</v>
      </c>
      <c r="AN293" s="464">
        <f>+IF($I293=AN$10,IF($L293=AN$11,#REF!,0),0)</f>
        <v>0</v>
      </c>
      <c r="AO293" s="464">
        <f>+IF($I293=AO$10,IF($L293=AO$11,#REF!,0),0)</f>
        <v>0</v>
      </c>
      <c r="AP293" s="464">
        <f>+IF($I293=AP$10,IF($L293=AP$11,#REF!,0),0)</f>
        <v>0</v>
      </c>
      <c r="AQ293" s="464">
        <f>+IF($I293=AQ$10,IF($L293=AQ$11,#REF!,0),0)</f>
        <v>0</v>
      </c>
      <c r="AR293" s="465">
        <f>+IF($I293=AR$10,IF($L293=AR$11,#REF!,0),0)</f>
        <v>0</v>
      </c>
      <c r="AS293" s="463">
        <f>+IF($I293=AS$10,IF($L293=AS$11,#REF!,0),0)</f>
        <v>0</v>
      </c>
      <c r="AT293" s="464">
        <f>+IF($I293=AT$10,IF($L293=AT$11,#REF!,0),0)</f>
        <v>0</v>
      </c>
      <c r="AU293" s="464">
        <f>+IF($I293=AU$10,IF($L293=AU$11,#REF!,0),0)</f>
        <v>0</v>
      </c>
      <c r="AV293" s="464">
        <f>+IF($I293=AV$10,IF($L293=AV$11,#REF!,0),0)</f>
        <v>0</v>
      </c>
      <c r="AW293" s="464">
        <f>+IF($I293=AW$10,IF($L293=AW$11,#REF!,0),0)</f>
        <v>0</v>
      </c>
      <c r="AX293" s="465">
        <f>+IF($I293=AX$10,IF($L293=AX$11,#REF!,0),0)</f>
        <v>0</v>
      </c>
      <c r="AY293" s="463">
        <f>+IF($I293=AY$10,IF($L293=AY$11,#REF!,0),0)</f>
        <v>0</v>
      </c>
      <c r="AZ293" s="464">
        <f>+IF($I293=AZ$10,IF($L293=AZ$11,#REF!,0),0)</f>
        <v>0</v>
      </c>
      <c r="BA293" s="464">
        <f>+IF($I293=BA$10,IF($L293=BA$11,#REF!,0),0)</f>
        <v>0</v>
      </c>
      <c r="BB293" s="464">
        <f>+IF($I293=BB$10,IF($L293=BB$11,#REF!,0),0)</f>
        <v>0</v>
      </c>
      <c r="BC293" s="464">
        <f>+IF($I293=BC$10,IF($L293=BC$11,#REF!,0),0)</f>
        <v>0</v>
      </c>
      <c r="BD293" s="465">
        <f>+IF($I293=BD$10,IF($L293=BD$11,#REF!,0),0)</f>
        <v>0</v>
      </c>
      <c r="BE293" s="463">
        <f>+IF($I293=BE$10,IF($L293=BE$11,#REF!,0),0)</f>
        <v>0</v>
      </c>
      <c r="BF293" s="464">
        <f>+IF($I293=BF$10,IF($L293=BF$11,#REF!,0),0)</f>
        <v>0</v>
      </c>
      <c r="BG293" s="464">
        <f>+IF($I293=BG$10,IF($L293=BG$11,#REF!,0),0)</f>
        <v>0</v>
      </c>
      <c r="BH293" s="464">
        <f>+IF($I293=BH$10,IF($L293=BH$11,#REF!,0),0)</f>
        <v>0</v>
      </c>
      <c r="BI293" s="464">
        <f>+IF($I293=BI$10,IF($L293=BI$11,#REF!,0),0)</f>
        <v>0</v>
      </c>
      <c r="BJ293" s="466">
        <f>+IF($I293=BJ$10,IF($L293=BJ$11,#REF!,0),0)</f>
        <v>0</v>
      </c>
    </row>
    <row r="294" spans="5:62" s="467" customFormat="1" ht="16.5" hidden="1" customHeight="1">
      <c r="E294" s="454" t="s">
        <v>1217</v>
      </c>
      <c r="F294" s="455"/>
      <c r="G294" s="456"/>
      <c r="H294" s="457" t="str">
        <f t="shared" si="68"/>
        <v>-</v>
      </c>
      <c r="I294" s="458" t="str">
        <f t="shared" si="47"/>
        <v>POSTE DE ALUMBRADO</v>
      </c>
      <c r="J294" s="566"/>
      <c r="K294" s="459" t="s">
        <v>1204</v>
      </c>
      <c r="L294" s="460" t="s">
        <v>1191</v>
      </c>
      <c r="M294" s="463">
        <f t="shared" ref="M294:AB298" si="74">+IF($L294=M$10,IF($K294=M$11,1,0),0)</f>
        <v>0</v>
      </c>
      <c r="N294" s="463">
        <f t="shared" si="74"/>
        <v>0</v>
      </c>
      <c r="O294" s="463">
        <f t="shared" si="74"/>
        <v>0</v>
      </c>
      <c r="P294" s="463">
        <f t="shared" si="74"/>
        <v>0</v>
      </c>
      <c r="Q294" s="463">
        <f t="shared" si="74"/>
        <v>0</v>
      </c>
      <c r="R294" s="463">
        <f t="shared" si="74"/>
        <v>0</v>
      </c>
      <c r="S294" s="463">
        <f t="shared" si="74"/>
        <v>0</v>
      </c>
      <c r="T294" s="463">
        <f t="shared" si="74"/>
        <v>0</v>
      </c>
      <c r="U294" s="463">
        <f t="shared" si="74"/>
        <v>0</v>
      </c>
      <c r="V294" s="463">
        <f t="shared" si="74"/>
        <v>0</v>
      </c>
      <c r="W294" s="463">
        <f t="shared" si="74"/>
        <v>0</v>
      </c>
      <c r="X294" s="463">
        <f t="shared" si="74"/>
        <v>0</v>
      </c>
      <c r="Y294" s="463">
        <f t="shared" si="74"/>
        <v>0</v>
      </c>
      <c r="Z294" s="463">
        <f t="shared" si="74"/>
        <v>0</v>
      </c>
      <c r="AA294" s="463">
        <f t="shared" si="74"/>
        <v>0</v>
      </c>
      <c r="AB294" s="463">
        <f t="shared" si="74"/>
        <v>1</v>
      </c>
      <c r="AC294" s="463">
        <f t="shared" si="73"/>
        <v>0</v>
      </c>
      <c r="AD294" s="463">
        <f t="shared" si="73"/>
        <v>0</v>
      </c>
      <c r="AE294" s="463">
        <f t="shared" si="73"/>
        <v>0</v>
      </c>
      <c r="AF294" s="621">
        <f t="shared" si="73"/>
        <v>0</v>
      </c>
      <c r="AG294" s="573"/>
      <c r="AH294" s="464"/>
      <c r="AI294" s="464"/>
      <c r="AJ294" s="464"/>
      <c r="AK294" s="464"/>
      <c r="AL294" s="465">
        <f>+IF($I294=AL$10,IF($L294=AL$11,#REF!,0),0)</f>
        <v>0</v>
      </c>
      <c r="AM294" s="463">
        <f>+IF($I294=AM$10,IF($L294=AM$11,#REF!,0),0)</f>
        <v>0</v>
      </c>
      <c r="AN294" s="464">
        <f>+IF($I294=AN$10,IF($L294=AN$11,#REF!,0),0)</f>
        <v>0</v>
      </c>
      <c r="AO294" s="464">
        <f>+IF($I294=AO$10,IF($L294=AO$11,#REF!,0),0)</f>
        <v>0</v>
      </c>
      <c r="AP294" s="464">
        <f>+IF($I294=AP$10,IF($L294=AP$11,#REF!,0),0)</f>
        <v>0</v>
      </c>
      <c r="AQ294" s="464">
        <f>+IF($I294=AQ$10,IF($L294=AQ$11,#REF!,0),0)</f>
        <v>0</v>
      </c>
      <c r="AR294" s="465">
        <f>+IF($I294=AR$10,IF($L294=AR$11,#REF!,0),0)</f>
        <v>0</v>
      </c>
      <c r="AS294" s="463">
        <f>+IF($I294=AS$10,IF($L294=AS$11,#REF!,0),0)</f>
        <v>0</v>
      </c>
      <c r="AT294" s="464">
        <f>+IF($I294=AT$10,IF($L294=AT$11,#REF!,0),0)</f>
        <v>0</v>
      </c>
      <c r="AU294" s="464">
        <f>+IF($I294=AU$10,IF($L294=AU$11,#REF!,0),0)</f>
        <v>0</v>
      </c>
      <c r="AV294" s="464">
        <f>+IF($I294=AV$10,IF($L294=AV$11,#REF!,0),0)</f>
        <v>0</v>
      </c>
      <c r="AW294" s="464">
        <f>+IF($I294=AW$10,IF($L294=AW$11,#REF!,0),0)</f>
        <v>0</v>
      </c>
      <c r="AX294" s="465">
        <f>+IF($I294=AX$10,IF($L294=AX$11,#REF!,0),0)</f>
        <v>0</v>
      </c>
      <c r="AY294" s="463">
        <f>+IF($I294=AY$10,IF($L294=AY$11,#REF!,0),0)</f>
        <v>0</v>
      </c>
      <c r="AZ294" s="464">
        <f>+IF($I294=AZ$10,IF($L294=AZ$11,#REF!,0),0)</f>
        <v>0</v>
      </c>
      <c r="BA294" s="464">
        <f>+IF($I294=BA$10,IF($L294=BA$11,#REF!,0),0)</f>
        <v>0</v>
      </c>
      <c r="BB294" s="464">
        <f>+IF($I294=BB$10,IF($L294=BB$11,#REF!,0),0)</f>
        <v>0</v>
      </c>
      <c r="BC294" s="464">
        <f>+IF($I294=BC$10,IF($L294=BC$11,#REF!,0),0)</f>
        <v>0</v>
      </c>
      <c r="BD294" s="465">
        <f>+IF($I294=BD$10,IF($L294=BD$11,#REF!,0),0)</f>
        <v>0</v>
      </c>
      <c r="BE294" s="463">
        <f>+IF($I294=BE$10,IF($L294=BE$11,#REF!,0),0)</f>
        <v>0</v>
      </c>
      <c r="BF294" s="464">
        <f>+IF($I294=BF$10,IF($L294=BF$11,#REF!,0),0)</f>
        <v>0</v>
      </c>
      <c r="BG294" s="464">
        <f>+IF($I294=BG$10,IF($L294=BG$11,#REF!,0),0)</f>
        <v>0</v>
      </c>
      <c r="BH294" s="464">
        <f>+IF($I294=BH$10,IF($L294=BH$11,#REF!,0),0)</f>
        <v>0</v>
      </c>
      <c r="BI294" s="464">
        <f>+IF($I294=BI$10,IF($L294=BI$11,#REF!,0),0)</f>
        <v>0</v>
      </c>
      <c r="BJ294" s="466">
        <f>+IF($I294=BJ$10,IF($L294=BJ$11,#REF!,0),0)</f>
        <v>0</v>
      </c>
    </row>
    <row r="295" spans="5:62" s="467" customFormat="1" ht="16.5" hidden="1" customHeight="1">
      <c r="E295" s="454" t="s">
        <v>1217</v>
      </c>
      <c r="F295" s="455"/>
      <c r="G295" s="456"/>
      <c r="H295" s="457" t="str">
        <f t="shared" si="68"/>
        <v>-</v>
      </c>
      <c r="I295" s="458" t="str">
        <f t="shared" si="47"/>
        <v>POSTE DE ALUMBRADO</v>
      </c>
      <c r="J295" s="566"/>
      <c r="K295" s="459" t="s">
        <v>1204</v>
      </c>
      <c r="L295" s="460" t="s">
        <v>1191</v>
      </c>
      <c r="M295" s="463">
        <f t="shared" si="74"/>
        <v>0</v>
      </c>
      <c r="N295" s="463">
        <f t="shared" si="74"/>
        <v>0</v>
      </c>
      <c r="O295" s="463">
        <f t="shared" si="74"/>
        <v>0</v>
      </c>
      <c r="P295" s="463">
        <f t="shared" si="74"/>
        <v>0</v>
      </c>
      <c r="Q295" s="463">
        <f t="shared" si="74"/>
        <v>0</v>
      </c>
      <c r="R295" s="463">
        <f t="shared" si="74"/>
        <v>0</v>
      </c>
      <c r="S295" s="463">
        <f t="shared" si="74"/>
        <v>0</v>
      </c>
      <c r="T295" s="463">
        <f t="shared" si="74"/>
        <v>0</v>
      </c>
      <c r="U295" s="463">
        <f t="shared" si="74"/>
        <v>0</v>
      </c>
      <c r="V295" s="463">
        <f t="shared" si="74"/>
        <v>0</v>
      </c>
      <c r="W295" s="463">
        <f t="shared" si="74"/>
        <v>0</v>
      </c>
      <c r="X295" s="463">
        <f t="shared" si="73"/>
        <v>0</v>
      </c>
      <c r="Y295" s="463">
        <f t="shared" si="73"/>
        <v>0</v>
      </c>
      <c r="Z295" s="463">
        <f t="shared" si="73"/>
        <v>0</v>
      </c>
      <c r="AA295" s="463">
        <f t="shared" si="73"/>
        <v>0</v>
      </c>
      <c r="AB295" s="463">
        <f t="shared" si="73"/>
        <v>1</v>
      </c>
      <c r="AC295" s="463">
        <f t="shared" si="73"/>
        <v>0</v>
      </c>
      <c r="AD295" s="463">
        <f t="shared" si="73"/>
        <v>0</v>
      </c>
      <c r="AE295" s="463">
        <f t="shared" si="73"/>
        <v>0</v>
      </c>
      <c r="AF295" s="621">
        <f t="shared" si="73"/>
        <v>0</v>
      </c>
      <c r="AG295" s="573"/>
      <c r="AH295" s="464"/>
      <c r="AI295" s="464"/>
      <c r="AJ295" s="464"/>
      <c r="AK295" s="464"/>
      <c r="AL295" s="465">
        <f>+IF($I295=AL$10,IF($L295=AL$11,#REF!,0),0)</f>
        <v>0</v>
      </c>
      <c r="AM295" s="463">
        <f>+IF($I295=AM$10,IF($L295=AM$11,#REF!,0),0)</f>
        <v>0</v>
      </c>
      <c r="AN295" s="464">
        <f>+IF($I295=AN$10,IF($L295=AN$11,#REF!,0),0)</f>
        <v>0</v>
      </c>
      <c r="AO295" s="464">
        <f>+IF($I295=AO$10,IF($L295=AO$11,#REF!,0),0)</f>
        <v>0</v>
      </c>
      <c r="AP295" s="464">
        <f>+IF($I295=AP$10,IF($L295=AP$11,#REF!,0),0)</f>
        <v>0</v>
      </c>
      <c r="AQ295" s="464">
        <f>+IF($I295=AQ$10,IF($L295=AQ$11,#REF!,0),0)</f>
        <v>0</v>
      </c>
      <c r="AR295" s="465">
        <f>+IF($I295=AR$10,IF($L295=AR$11,#REF!,0),0)</f>
        <v>0</v>
      </c>
      <c r="AS295" s="463">
        <f>+IF($I295=AS$10,IF($L295=AS$11,#REF!,0),0)</f>
        <v>0</v>
      </c>
      <c r="AT295" s="464">
        <f>+IF($I295=AT$10,IF($L295=AT$11,#REF!,0),0)</f>
        <v>0</v>
      </c>
      <c r="AU295" s="464">
        <f>+IF($I295=AU$10,IF($L295=AU$11,#REF!,0),0)</f>
        <v>0</v>
      </c>
      <c r="AV295" s="464">
        <f>+IF($I295=AV$10,IF($L295=AV$11,#REF!,0),0)</f>
        <v>0</v>
      </c>
      <c r="AW295" s="464">
        <f>+IF($I295=AW$10,IF($L295=AW$11,#REF!,0),0)</f>
        <v>0</v>
      </c>
      <c r="AX295" s="465">
        <f>+IF($I295=AX$10,IF($L295=AX$11,#REF!,0),0)</f>
        <v>0</v>
      </c>
      <c r="AY295" s="463">
        <f>+IF($I295=AY$10,IF($L295=AY$11,#REF!,0),0)</f>
        <v>0</v>
      </c>
      <c r="AZ295" s="464">
        <f>+IF($I295=AZ$10,IF($L295=AZ$11,#REF!,0),0)</f>
        <v>0</v>
      </c>
      <c r="BA295" s="464">
        <f>+IF($I295=BA$10,IF($L295=BA$11,#REF!,0),0)</f>
        <v>0</v>
      </c>
      <c r="BB295" s="464">
        <f>+IF($I295=BB$10,IF($L295=BB$11,#REF!,0),0)</f>
        <v>0</v>
      </c>
      <c r="BC295" s="464">
        <f>+IF($I295=BC$10,IF($L295=BC$11,#REF!,0),0)</f>
        <v>0</v>
      </c>
      <c r="BD295" s="465">
        <f>+IF($I295=BD$10,IF($L295=BD$11,#REF!,0),0)</f>
        <v>0</v>
      </c>
      <c r="BE295" s="463">
        <f>+IF($I295=BE$10,IF($L295=BE$11,#REF!,0),0)</f>
        <v>0</v>
      </c>
      <c r="BF295" s="464">
        <f>+IF($I295=BF$10,IF($L295=BF$11,#REF!,0),0)</f>
        <v>0</v>
      </c>
      <c r="BG295" s="464">
        <f>+IF($I295=BG$10,IF($L295=BG$11,#REF!,0),0)</f>
        <v>0</v>
      </c>
      <c r="BH295" s="464">
        <f>+IF($I295=BH$10,IF($L295=BH$11,#REF!,0),0)</f>
        <v>0</v>
      </c>
      <c r="BI295" s="464">
        <f>+IF($I295=BI$10,IF($L295=BI$11,#REF!,0),0)</f>
        <v>0</v>
      </c>
      <c r="BJ295" s="466">
        <f>+IF($I295=BJ$10,IF($L295=BJ$11,#REF!,0),0)</f>
        <v>0</v>
      </c>
    </row>
    <row r="296" spans="5:62" s="467" customFormat="1" ht="16.5" hidden="1" customHeight="1">
      <c r="E296" s="454" t="s">
        <v>1217</v>
      </c>
      <c r="F296" s="455"/>
      <c r="G296" s="456"/>
      <c r="H296" s="457" t="str">
        <f t="shared" si="68"/>
        <v>-</v>
      </c>
      <c r="I296" s="458" t="str">
        <f t="shared" si="47"/>
        <v>POSTE DE ALUMBRADO</v>
      </c>
      <c r="J296" s="566"/>
      <c r="K296" s="459" t="s">
        <v>1204</v>
      </c>
      <c r="L296" s="460" t="s">
        <v>1191</v>
      </c>
      <c r="M296" s="463">
        <f t="shared" si="74"/>
        <v>0</v>
      </c>
      <c r="N296" s="463">
        <f t="shared" si="74"/>
        <v>0</v>
      </c>
      <c r="O296" s="463">
        <f t="shared" si="74"/>
        <v>0</v>
      </c>
      <c r="P296" s="463">
        <f t="shared" si="74"/>
        <v>0</v>
      </c>
      <c r="Q296" s="463">
        <f t="shared" si="74"/>
        <v>0</v>
      </c>
      <c r="R296" s="463">
        <f t="shared" si="74"/>
        <v>0</v>
      </c>
      <c r="S296" s="463">
        <f t="shared" si="74"/>
        <v>0</v>
      </c>
      <c r="T296" s="463">
        <f t="shared" si="74"/>
        <v>0</v>
      </c>
      <c r="U296" s="463">
        <f t="shared" si="74"/>
        <v>0</v>
      </c>
      <c r="V296" s="463">
        <f t="shared" si="74"/>
        <v>0</v>
      </c>
      <c r="W296" s="463">
        <f t="shared" si="74"/>
        <v>0</v>
      </c>
      <c r="X296" s="463">
        <f t="shared" si="73"/>
        <v>0</v>
      </c>
      <c r="Y296" s="463">
        <f t="shared" si="73"/>
        <v>0</v>
      </c>
      <c r="Z296" s="463">
        <f t="shared" si="73"/>
        <v>0</v>
      </c>
      <c r="AA296" s="463">
        <f t="shared" si="73"/>
        <v>0</v>
      </c>
      <c r="AB296" s="463">
        <f t="shared" si="73"/>
        <v>1</v>
      </c>
      <c r="AC296" s="463">
        <f t="shared" si="73"/>
        <v>0</v>
      </c>
      <c r="AD296" s="463">
        <f t="shared" si="73"/>
        <v>0</v>
      </c>
      <c r="AE296" s="463">
        <f t="shared" si="73"/>
        <v>0</v>
      </c>
      <c r="AF296" s="621">
        <f t="shared" si="73"/>
        <v>0</v>
      </c>
      <c r="AG296" s="573"/>
      <c r="AH296" s="464"/>
      <c r="AI296" s="464"/>
      <c r="AJ296" s="464"/>
      <c r="AK296" s="464"/>
      <c r="AL296" s="465">
        <f>+IF($I296=AL$10,IF($L296=AL$11,#REF!,0),0)</f>
        <v>0</v>
      </c>
      <c r="AM296" s="463">
        <f>+IF($I296=AM$10,IF($L296=AM$11,#REF!,0),0)</f>
        <v>0</v>
      </c>
      <c r="AN296" s="464">
        <f>+IF($I296=AN$10,IF($L296=AN$11,#REF!,0),0)</f>
        <v>0</v>
      </c>
      <c r="AO296" s="464">
        <f>+IF($I296=AO$10,IF($L296=AO$11,#REF!,0),0)</f>
        <v>0</v>
      </c>
      <c r="AP296" s="464">
        <v>1</v>
      </c>
      <c r="AQ296" s="464">
        <f>+IF($I296=AQ$10,IF($L296=AQ$11,#REF!,0),0)</f>
        <v>0</v>
      </c>
      <c r="AR296" s="465">
        <f>+IF($I296=AR$10,IF($L296=AR$11,#REF!,0),0)</f>
        <v>0</v>
      </c>
      <c r="AS296" s="463">
        <f>+IF($I296=AS$10,IF($L296=AS$11,#REF!,0),0)</f>
        <v>0</v>
      </c>
      <c r="AT296" s="464">
        <f>+IF($I296=AT$10,IF($L296=AT$11,#REF!,0),0)</f>
        <v>0</v>
      </c>
      <c r="AU296" s="464">
        <f>+IF($I296=AU$10,IF($L296=AU$11,#REF!,0),0)</f>
        <v>0</v>
      </c>
      <c r="AV296" s="464">
        <f>+IF($I296=AV$10,IF($L296=AV$11,#REF!,0),0)</f>
        <v>0</v>
      </c>
      <c r="AW296" s="464">
        <f>+IF($I296=AW$10,IF($L296=AW$11,#REF!,0),0)</f>
        <v>0</v>
      </c>
      <c r="AX296" s="465">
        <f>+IF($I296=AX$10,IF($L296=AX$11,#REF!,0),0)</f>
        <v>0</v>
      </c>
      <c r="AY296" s="463">
        <f>+IF($I296=AY$10,IF($L296=AY$11,#REF!,0),0)</f>
        <v>0</v>
      </c>
      <c r="AZ296" s="464">
        <f>+IF($I296=AZ$10,IF($L296=AZ$11,#REF!,0),0)</f>
        <v>0</v>
      </c>
      <c r="BA296" s="464">
        <f>+IF($I296=BA$10,IF($L296=BA$11,#REF!,0),0)</f>
        <v>0</v>
      </c>
      <c r="BB296" s="464">
        <f>+IF($I296=BB$10,IF($L296=BB$11,#REF!,0),0)</f>
        <v>0</v>
      </c>
      <c r="BC296" s="464">
        <f>+IF($I296=BC$10,IF($L296=BC$11,#REF!,0),0)</f>
        <v>0</v>
      </c>
      <c r="BD296" s="465">
        <f>+IF($I296=BD$10,IF($L296=BD$11,#REF!,0),0)</f>
        <v>0</v>
      </c>
      <c r="BE296" s="463">
        <f>+IF($I296=BE$10,IF($L296=BE$11,#REF!,0),0)</f>
        <v>0</v>
      </c>
      <c r="BF296" s="464">
        <f>+IF($I296=BF$10,IF($L296=BF$11,#REF!,0),0)</f>
        <v>0</v>
      </c>
      <c r="BG296" s="464">
        <f>+IF($I296=BG$10,IF($L296=BG$11,#REF!,0),0)</f>
        <v>0</v>
      </c>
      <c r="BH296" s="464">
        <f>+IF($I296=BH$10,IF($L296=BH$11,#REF!,0),0)</f>
        <v>0</v>
      </c>
      <c r="BI296" s="464">
        <f>+IF($I296=BI$10,IF($L296=BI$11,#REF!,0),0)</f>
        <v>0</v>
      </c>
      <c r="BJ296" s="466">
        <f>+IF($I296=BJ$10,IF($L296=BJ$11,#REF!,0),0)</f>
        <v>0</v>
      </c>
    </row>
    <row r="297" spans="5:62" s="467" customFormat="1" ht="16.5" hidden="1" customHeight="1">
      <c r="E297" s="454" t="s">
        <v>1217</v>
      </c>
      <c r="F297" s="455"/>
      <c r="G297" s="456"/>
      <c r="H297" s="457" t="str">
        <f t="shared" si="68"/>
        <v>-</v>
      </c>
      <c r="I297" s="458" t="str">
        <f t="shared" si="47"/>
        <v>POSTE DE TELEFONO</v>
      </c>
      <c r="J297" s="566"/>
      <c r="K297" s="459" t="s">
        <v>1203</v>
      </c>
      <c r="L297" s="460" t="s">
        <v>1191</v>
      </c>
      <c r="M297" s="463">
        <f t="shared" si="74"/>
        <v>0</v>
      </c>
      <c r="N297" s="463">
        <f t="shared" si="74"/>
        <v>0</v>
      </c>
      <c r="O297" s="463">
        <f t="shared" si="74"/>
        <v>0</v>
      </c>
      <c r="P297" s="463">
        <f t="shared" si="74"/>
        <v>0</v>
      </c>
      <c r="Q297" s="463">
        <f t="shared" si="74"/>
        <v>0</v>
      </c>
      <c r="R297" s="463">
        <f t="shared" si="74"/>
        <v>0</v>
      </c>
      <c r="S297" s="463">
        <f t="shared" si="74"/>
        <v>0</v>
      </c>
      <c r="T297" s="463">
        <f t="shared" si="74"/>
        <v>0</v>
      </c>
      <c r="U297" s="463">
        <f t="shared" si="74"/>
        <v>0</v>
      </c>
      <c r="V297" s="463">
        <f t="shared" si="74"/>
        <v>0</v>
      </c>
      <c r="W297" s="463">
        <f t="shared" si="74"/>
        <v>0</v>
      </c>
      <c r="X297" s="463">
        <f t="shared" si="73"/>
        <v>0</v>
      </c>
      <c r="Y297" s="463">
        <f t="shared" si="73"/>
        <v>0</v>
      </c>
      <c r="Z297" s="463">
        <f t="shared" si="73"/>
        <v>0</v>
      </c>
      <c r="AA297" s="463">
        <f t="shared" si="73"/>
        <v>1</v>
      </c>
      <c r="AB297" s="463">
        <f t="shared" si="73"/>
        <v>0</v>
      </c>
      <c r="AC297" s="463">
        <f t="shared" si="73"/>
        <v>0</v>
      </c>
      <c r="AD297" s="463">
        <f t="shared" si="73"/>
        <v>0</v>
      </c>
      <c r="AE297" s="463">
        <f t="shared" si="73"/>
        <v>0</v>
      </c>
      <c r="AF297" s="621">
        <f t="shared" si="73"/>
        <v>0</v>
      </c>
      <c r="AG297" s="573"/>
      <c r="AH297" s="464"/>
      <c r="AI297" s="464"/>
      <c r="AJ297" s="464"/>
      <c r="AK297" s="464"/>
      <c r="AL297" s="465">
        <f>+IF($I297=AL$10,IF($L297=AL$11,#REF!,0),0)</f>
        <v>0</v>
      </c>
      <c r="AM297" s="463">
        <f>+IF($I297=AM$10,IF($L297=AM$11,#REF!,0),0)</f>
        <v>0</v>
      </c>
      <c r="AN297" s="464">
        <f>+IF($I297=AN$10,IF($L297=AN$11,#REF!,0),0)</f>
        <v>0</v>
      </c>
      <c r="AO297" s="464">
        <f>+IF($I297=AO$10,IF($L297=AO$11,#REF!,0),0)</f>
        <v>0</v>
      </c>
      <c r="AP297" s="464">
        <f>+IF($I297=AP$10,IF($L297=AP$11,#REF!,0),0)</f>
        <v>0</v>
      </c>
      <c r="AQ297" s="464">
        <f>+IF($I297=AQ$10,IF($L297=AQ$11,#REF!,0),0)</f>
        <v>0</v>
      </c>
      <c r="AR297" s="465">
        <f>+IF($I297=AR$10,IF($L297=AR$11,#REF!,0),0)</f>
        <v>0</v>
      </c>
      <c r="AS297" s="463">
        <f>+IF($I297=AS$10,IF($L297=AS$11,#REF!,0),0)</f>
        <v>0</v>
      </c>
      <c r="AT297" s="464">
        <f>+IF($I297=AT$10,IF($L297=AT$11,#REF!,0),0)</f>
        <v>0</v>
      </c>
      <c r="AU297" s="464">
        <f>+IF($I297=AU$10,IF($L297=AU$11,#REF!,0),0)</f>
        <v>0</v>
      </c>
      <c r="AV297" s="464">
        <v>1</v>
      </c>
      <c r="AW297" s="464">
        <f>+IF($I297=AW$10,IF($L297=AW$11,#REF!,0),0)</f>
        <v>0</v>
      </c>
      <c r="AX297" s="465">
        <f>+IF($I297=AX$10,IF($L297=AX$11,#REF!,0),0)</f>
        <v>0</v>
      </c>
      <c r="AY297" s="463">
        <f>+IF($I297=AY$10,IF($L297=AY$11,#REF!,0),0)</f>
        <v>0</v>
      </c>
      <c r="AZ297" s="464">
        <f>+IF($I297=AZ$10,IF($L297=AZ$11,#REF!,0),0)</f>
        <v>0</v>
      </c>
      <c r="BA297" s="464">
        <f>+IF($I297=BA$10,IF($L297=BA$11,#REF!,0),0)</f>
        <v>0</v>
      </c>
      <c r="BB297" s="464">
        <f>+IF($I297=BB$10,IF($L297=BB$11,#REF!,0),0)</f>
        <v>0</v>
      </c>
      <c r="BC297" s="464">
        <f>+IF($I297=BC$10,IF($L297=BC$11,#REF!,0),0)</f>
        <v>0</v>
      </c>
      <c r="BD297" s="465">
        <f>+IF($I297=BD$10,IF($L297=BD$11,#REF!,0),0)</f>
        <v>0</v>
      </c>
      <c r="BE297" s="463">
        <f>+IF($I297=BE$10,IF($L297=BE$11,#REF!,0),0)</f>
        <v>0</v>
      </c>
      <c r="BF297" s="464">
        <f>+IF($I297=BF$10,IF($L297=BF$11,#REF!,0),0)</f>
        <v>0</v>
      </c>
      <c r="BG297" s="464">
        <f>+IF($I297=BG$10,IF($L297=BG$11,#REF!,0),0)</f>
        <v>0</v>
      </c>
      <c r="BH297" s="464">
        <f>+IF($I297=BH$10,IF($L297=BH$11,#REF!,0),0)</f>
        <v>0</v>
      </c>
      <c r="BI297" s="464">
        <f>+IF($I297=BI$10,IF($L297=BI$11,#REF!,0),0)</f>
        <v>0</v>
      </c>
      <c r="BJ297" s="466">
        <f>+IF($I297=BJ$10,IF($L297=BJ$11,#REF!,0),0)</f>
        <v>0</v>
      </c>
    </row>
    <row r="298" spans="5:62" s="467" customFormat="1" ht="16.5" hidden="1" customHeight="1">
      <c r="E298" s="454" t="s">
        <v>1217</v>
      </c>
      <c r="F298" s="455"/>
      <c r="G298" s="456"/>
      <c r="H298" s="457" t="str">
        <f t="shared" si="68"/>
        <v>-</v>
      </c>
      <c r="I298" s="458" t="str">
        <f t="shared" si="47"/>
        <v>POSTE DE ALUMBRADO</v>
      </c>
      <c r="J298" s="566"/>
      <c r="K298" s="459" t="s">
        <v>1204</v>
      </c>
      <c r="L298" s="460" t="s">
        <v>1191</v>
      </c>
      <c r="M298" s="463">
        <f t="shared" si="74"/>
        <v>0</v>
      </c>
      <c r="N298" s="463">
        <f t="shared" si="74"/>
        <v>0</v>
      </c>
      <c r="O298" s="463">
        <f t="shared" si="74"/>
        <v>0</v>
      </c>
      <c r="P298" s="463">
        <f t="shared" si="74"/>
        <v>0</v>
      </c>
      <c r="Q298" s="463">
        <f t="shared" si="74"/>
        <v>0</v>
      </c>
      <c r="R298" s="463">
        <f t="shared" si="74"/>
        <v>0</v>
      </c>
      <c r="S298" s="463">
        <f t="shared" si="74"/>
        <v>0</v>
      </c>
      <c r="T298" s="463">
        <f t="shared" si="74"/>
        <v>0</v>
      </c>
      <c r="U298" s="463">
        <f t="shared" si="74"/>
        <v>0</v>
      </c>
      <c r="V298" s="463">
        <f t="shared" si="74"/>
        <v>0</v>
      </c>
      <c r="W298" s="463">
        <f t="shared" si="74"/>
        <v>0</v>
      </c>
      <c r="X298" s="463">
        <f t="shared" si="73"/>
        <v>0</v>
      </c>
      <c r="Y298" s="463">
        <f t="shared" si="73"/>
        <v>0</v>
      </c>
      <c r="Z298" s="463">
        <f t="shared" si="73"/>
        <v>0</v>
      </c>
      <c r="AA298" s="463">
        <f t="shared" si="73"/>
        <v>0</v>
      </c>
      <c r="AB298" s="463">
        <f t="shared" si="73"/>
        <v>1</v>
      </c>
      <c r="AC298" s="463">
        <f t="shared" si="73"/>
        <v>0</v>
      </c>
      <c r="AD298" s="463">
        <f t="shared" si="73"/>
        <v>0</v>
      </c>
      <c r="AE298" s="463">
        <f t="shared" si="73"/>
        <v>0</v>
      </c>
      <c r="AF298" s="621">
        <f t="shared" si="73"/>
        <v>0</v>
      </c>
      <c r="AG298" s="573"/>
      <c r="AH298" s="464"/>
      <c r="AI298" s="464"/>
      <c r="AJ298" s="464"/>
      <c r="AK298" s="464"/>
      <c r="AL298" s="465">
        <f>+IF($I298=AL$10,IF($L298=AL$11,#REF!,0),0)</f>
        <v>0</v>
      </c>
      <c r="AM298" s="463">
        <f>+IF($I298=AM$10,IF($L298=AM$11,#REF!,0),0)</f>
        <v>0</v>
      </c>
      <c r="AN298" s="464">
        <f>+IF($I298=AN$10,IF($L298=AN$11,#REF!,0),0)</f>
        <v>0</v>
      </c>
      <c r="AO298" s="464">
        <f>+IF($I298=AO$10,IF($L298=AO$11,#REF!,0),0)</f>
        <v>0</v>
      </c>
      <c r="AP298" s="464">
        <f>+IF($I298=AP$10,IF($L298=AP$11,#REF!,0),0)</f>
        <v>0</v>
      </c>
      <c r="AQ298" s="464">
        <f>+IF($I298=AQ$10,IF($L298=AQ$11,#REF!,0),0)</f>
        <v>0</v>
      </c>
      <c r="AR298" s="465">
        <f>+IF($I298=AR$10,IF($L298=AR$11,#REF!,0),0)</f>
        <v>0</v>
      </c>
      <c r="AS298" s="463">
        <f>+IF($I298=AS$10,IF($L298=AS$11,#REF!,0),0)</f>
        <v>0</v>
      </c>
      <c r="AT298" s="464">
        <f>+IF($I298=AT$10,IF($L298=AT$11,#REF!,0),0)</f>
        <v>0</v>
      </c>
      <c r="AU298" s="464">
        <f>+IF($I298=AU$10,IF($L298=AU$11,#REF!,0),0)</f>
        <v>0</v>
      </c>
      <c r="AV298" s="464">
        <f>+IF($I298=AV$10,IF($L298=AV$11,#REF!,0),0)</f>
        <v>0</v>
      </c>
      <c r="AW298" s="464">
        <f>+IF($I298=AW$10,IF($L298=AW$11,#REF!,0),0)</f>
        <v>0</v>
      </c>
      <c r="AX298" s="465">
        <f>+IF($I298=AX$10,IF($L298=AX$11,#REF!,0),0)</f>
        <v>0</v>
      </c>
      <c r="AY298" s="463">
        <v>1</v>
      </c>
      <c r="AZ298" s="464">
        <f>+IF($I298=AZ$10,IF($L298=AZ$11,#REF!,0),0)</f>
        <v>0</v>
      </c>
      <c r="BA298" s="464">
        <f>+IF($I298=BA$10,IF($L298=BA$11,#REF!,0),0)</f>
        <v>0</v>
      </c>
      <c r="BB298" s="464">
        <f>+IF($I298=BB$10,IF($L298=BB$11,#REF!,0),0)</f>
        <v>0</v>
      </c>
      <c r="BC298" s="464">
        <f>+IF($I298=BC$10,IF($L298=BC$11,#REF!,0),0)</f>
        <v>0</v>
      </c>
      <c r="BD298" s="465">
        <f>+IF($I298=BD$10,IF($L298=BD$11,#REF!,0),0)</f>
        <v>0</v>
      </c>
      <c r="BE298" s="463">
        <f>+IF($I298=BE$10,IF($L298=BE$11,#REF!,0),0)</f>
        <v>0</v>
      </c>
      <c r="BF298" s="464">
        <f>+IF($I298=BF$10,IF($L298=BF$11,#REF!,0),0)</f>
        <v>0</v>
      </c>
      <c r="BG298" s="464">
        <f>+IF($I298=BG$10,IF($L298=BG$11,#REF!,0),0)</f>
        <v>0</v>
      </c>
      <c r="BH298" s="464">
        <f>+IF($I298=BH$10,IF($L298=BH$11,#REF!,0),0)</f>
        <v>0</v>
      </c>
      <c r="BI298" s="464">
        <f>+IF($I298=BI$10,IF($L298=BI$11,#REF!,0),0)</f>
        <v>0</v>
      </c>
      <c r="BJ298" s="466">
        <f>+IF($I298=BJ$10,IF($L298=BJ$11,#REF!,0),0)</f>
        <v>0</v>
      </c>
    </row>
    <row r="299" spans="5:62" s="467" customFormat="1" ht="5.25" customHeight="1" thickBot="1">
      <c r="E299" s="454"/>
      <c r="F299" s="455"/>
      <c r="G299" s="456"/>
      <c r="H299" s="457" t="str">
        <f t="shared" si="16"/>
        <v>-</v>
      </c>
      <c r="I299" s="566"/>
      <c r="J299" s="566"/>
      <c r="K299" s="459"/>
      <c r="L299" s="460"/>
      <c r="M299" s="463">
        <f>+IF($I299="CODO",IF($L299=M$10,IF(#REF!=M$11,#REF!,0),0),0)</f>
        <v>0</v>
      </c>
      <c r="N299" s="464">
        <f>+IF($I299="CODO",IF($L299=N$10,IF(#REF!=N$11,#REF!,0),0),0)</f>
        <v>0</v>
      </c>
      <c r="O299" s="464">
        <f>+IF($I299="CODO",IF($L299=O$10,IF(#REF!=O$11,#REF!,0),0),0)</f>
        <v>0</v>
      </c>
      <c r="P299" s="464">
        <f>+IF($I299="CODO",IF($L299=P$10,IF(#REF!=P$11,#REF!,0),0),0)</f>
        <v>0</v>
      </c>
      <c r="Q299" s="464">
        <f>+IF($I299="CODO",IF($L299=Q$10,IF(#REF!=Q$11,#REF!,0),0),0)</f>
        <v>0</v>
      </c>
      <c r="R299" s="465">
        <f>+IF($I299="CODO",IF($L299=R$10,IF(#REF!=R$11,#REF!,0),0),0)</f>
        <v>0</v>
      </c>
      <c r="S299" s="463">
        <f>+IF($I299="CODO",IF($L299=S$10,IF(#REF!=S$11,#REF!,0),0),0)</f>
        <v>0</v>
      </c>
      <c r="T299" s="464">
        <f>+IF($I299="CODO",IF($L299=T$10,IF(#REF!=T$11,#REF!,0),0),0)</f>
        <v>0</v>
      </c>
      <c r="U299" s="463">
        <f>+IF($I299="CODO",IF($L299=U$10,IF(#REF!=U$11,#REF!,0),0),0)</f>
        <v>0</v>
      </c>
      <c r="V299" s="464">
        <f>+IF($I299="CODO",IF($L299=V$10,IF(#REF!=V$11,#REF!,0),0),0)</f>
        <v>0</v>
      </c>
      <c r="W299" s="464">
        <f>+IF($I299="CODO",IF($L299=W$10,IF(#REF!=W$11,#REF!,0),0),0)</f>
        <v>0</v>
      </c>
      <c r="X299" s="464">
        <f>+IF($I299="CODO",IF($L299=X$10,IF(#REF!=X$11,#REF!,0),0),0)</f>
        <v>0</v>
      </c>
      <c r="Y299" s="464">
        <f>+IF($I299="CODO",IF($L299=Y$10,IF(#REF!=Y$11,#REF!,0),0),0)</f>
        <v>0</v>
      </c>
      <c r="Z299" s="465">
        <f>+IF($I299="CODO",IF($L299=Z$10,IF(#REF!=Z$11,#REF!,0),0),0)</f>
        <v>0</v>
      </c>
      <c r="AA299" s="622">
        <f>+IF($I299="CODO",IF($L299=AA$10,IF(#REF!=AA$11,#REF!,0),0),0)</f>
        <v>0</v>
      </c>
      <c r="AB299" s="623">
        <f>+IF($I299="CODO",IF($L299=AB$10,IF(#REF!=AB$11,#REF!,0),0),0)</f>
        <v>0</v>
      </c>
      <c r="AC299" s="623">
        <f>+IF($I299="CODO",IF($L299=AC$10,IF(#REF!=AC$11,#REF!,0),0),0)</f>
        <v>0</v>
      </c>
      <c r="AD299" s="623">
        <f>+IF($I299="CODO",IF($L299=AD$10,IF(#REF!=AD$11,#REF!,0),0),0)</f>
        <v>0</v>
      </c>
      <c r="AE299" s="623">
        <f>+IF($I299="CODO",IF($L299=AE$10,IF(#REF!=AE$11,#REF!,0),0),0)</f>
        <v>0</v>
      </c>
      <c r="AF299" s="624">
        <f>+IF($I299="CODO",IF($L299=AF$10,IF(#REF!=AF$11,#REF!,0),0),0)</f>
        <v>0</v>
      </c>
      <c r="AG299" s="573">
        <f>+IF($I299=AG$10,IF($L299=AG$11,#REF!,0),0)</f>
        <v>0</v>
      </c>
      <c r="AH299" s="464">
        <f>+IF($I299=AH$10,IF($L299=AH$11,#REF!,0),0)</f>
        <v>0</v>
      </c>
      <c r="AI299" s="464">
        <f>+IF($I299=AI$10,IF($L299=AI$11,#REF!,0),0)</f>
        <v>0</v>
      </c>
      <c r="AJ299" s="464">
        <f>+IF($I299=AJ$10,IF($L299=AJ$11,#REF!,0),0)</f>
        <v>0</v>
      </c>
      <c r="AK299" s="464">
        <f>+IF($I299=AK$10,IF($L299=AK$11,#REF!,0),0)</f>
        <v>0</v>
      </c>
      <c r="AL299" s="465">
        <f>+IF($I299=AL$10,IF($L299=AL$11,#REF!,0),0)</f>
        <v>0</v>
      </c>
      <c r="AM299" s="463">
        <f>+IF($I299=AM$10,IF($L299=AM$11,#REF!,0),0)</f>
        <v>0</v>
      </c>
      <c r="AN299" s="464">
        <f>+IF($I299=AN$10,IF($L299=AN$11,#REF!,0),0)</f>
        <v>0</v>
      </c>
      <c r="AO299" s="464">
        <f>+IF($I299=AO$10,IF($L299=AO$11,#REF!,0),0)</f>
        <v>0</v>
      </c>
      <c r="AP299" s="464">
        <f>+IF($I299=AP$10,IF($L299=AP$11,#REF!,0),0)</f>
        <v>0</v>
      </c>
      <c r="AQ299" s="464">
        <f>+IF($I299=AQ$10,IF($L299=AQ$11,#REF!,0),0)</f>
        <v>0</v>
      </c>
      <c r="AR299" s="465">
        <f>+IF($I299=AR$10,IF($L299=AR$11,#REF!,0),0)</f>
        <v>0</v>
      </c>
      <c r="AS299" s="463">
        <f>+IF($I299=AS$10,IF($L299=AS$11,#REF!,0),0)</f>
        <v>0</v>
      </c>
      <c r="AT299" s="464">
        <f>+IF($I299=AT$10,IF($L299=AT$11,#REF!,0),0)</f>
        <v>0</v>
      </c>
      <c r="AU299" s="464">
        <f>+IF($I299=AU$10,IF($L299=AU$11,#REF!,0),0)</f>
        <v>0</v>
      </c>
      <c r="AV299" s="464">
        <f>+IF($I299=AV$10,IF($L299=AV$11,#REF!,0),0)</f>
        <v>0</v>
      </c>
      <c r="AW299" s="464">
        <f>+IF($I299=AW$10,IF($L299=AW$11,#REF!,0),0)</f>
        <v>0</v>
      </c>
      <c r="AX299" s="465">
        <f>+IF($I299=AX$10,IF($L299=AX$11,#REF!,0),0)</f>
        <v>0</v>
      </c>
      <c r="AY299" s="463">
        <f>+IF($I299=AY$10,IF($L299=AY$11,#REF!,0),0)</f>
        <v>0</v>
      </c>
      <c r="AZ299" s="464">
        <f>+IF($I299=AZ$10,IF($L299=AZ$11,#REF!,0),0)</f>
        <v>0</v>
      </c>
      <c r="BA299" s="464">
        <f>+IF($I299=BA$10,IF($L299=BA$11,#REF!,0),0)</f>
        <v>0</v>
      </c>
      <c r="BB299" s="464">
        <f>+IF($I299=BB$10,IF($L299=BB$11,#REF!,0),0)</f>
        <v>0</v>
      </c>
      <c r="BC299" s="464">
        <f>+IF($I299=BC$10,IF($L299=BC$11,#REF!,0),0)</f>
        <v>0</v>
      </c>
      <c r="BD299" s="465">
        <f>+IF($I299=BD$10,IF($L299=BD$11,#REF!,0),0)</f>
        <v>0</v>
      </c>
      <c r="BE299" s="463">
        <f>+IF($I299=BE$10,IF($L299=BE$11,#REF!,0),0)</f>
        <v>0</v>
      </c>
      <c r="BF299" s="464">
        <f>+IF($I299=BF$10,IF($L299=BF$11,#REF!,0),0)</f>
        <v>0</v>
      </c>
      <c r="BG299" s="464">
        <f>+IF($I299=BG$10,IF($L299=BG$11,#REF!,0),0)</f>
        <v>0</v>
      </c>
      <c r="BH299" s="464">
        <f>+IF($I299=BH$10,IF($L299=BH$11,#REF!,0),0)</f>
        <v>0</v>
      </c>
      <c r="BI299" s="464">
        <f>+IF($I299=BI$10,IF($L299=BI$11,#REF!,0),0)</f>
        <v>0</v>
      </c>
      <c r="BJ299" s="466">
        <f>+IF($I299=BJ$10,IF($L299=BJ$11,#REF!,0),0)</f>
        <v>0</v>
      </c>
    </row>
    <row r="300" spans="5:62" s="482" customFormat="1" ht="12.6" thickBot="1">
      <c r="E300" s="469"/>
      <c r="F300" s="470"/>
      <c r="G300" s="471"/>
      <c r="H300" s="472"/>
      <c r="I300" s="567"/>
      <c r="J300" s="567"/>
      <c r="K300" s="473"/>
      <c r="L300" s="473"/>
      <c r="M300" s="476"/>
      <c r="N300" s="477"/>
      <c r="O300" s="477"/>
      <c r="P300" s="477"/>
      <c r="Q300" s="477"/>
      <c r="R300" s="478"/>
      <c r="S300" s="476"/>
      <c r="T300" s="477"/>
      <c r="U300" s="479"/>
      <c r="V300" s="477"/>
      <c r="W300" s="477"/>
      <c r="X300" s="477"/>
      <c r="Y300" s="477"/>
      <c r="Z300" s="480"/>
      <c r="AA300" s="476"/>
      <c r="AB300" s="477"/>
      <c r="AC300" s="477"/>
      <c r="AD300" s="477"/>
      <c r="AE300" s="477"/>
      <c r="AF300" s="478"/>
      <c r="AG300" s="479"/>
      <c r="AH300" s="477"/>
      <c r="AI300" s="477"/>
      <c r="AJ300" s="477"/>
      <c r="AK300" s="477"/>
      <c r="AL300" s="480"/>
      <c r="AM300" s="479"/>
      <c r="AN300" s="477"/>
      <c r="AO300" s="477"/>
      <c r="AP300" s="477"/>
      <c r="AQ300" s="477"/>
      <c r="AR300" s="480"/>
      <c r="AS300" s="479"/>
      <c r="AT300" s="477"/>
      <c r="AU300" s="477"/>
      <c r="AV300" s="477"/>
      <c r="AW300" s="477"/>
      <c r="AX300" s="480"/>
      <c r="AY300" s="479"/>
      <c r="AZ300" s="477"/>
      <c r="BA300" s="477"/>
      <c r="BB300" s="477"/>
      <c r="BC300" s="477"/>
      <c r="BD300" s="480"/>
      <c r="BE300" s="479"/>
      <c r="BF300" s="477"/>
      <c r="BG300" s="477"/>
      <c r="BH300" s="477"/>
      <c r="BI300" s="477"/>
      <c r="BJ300" s="481"/>
    </row>
    <row r="301" spans="5:62">
      <c r="E301" s="394"/>
      <c r="F301" s="483"/>
      <c r="G301" s="483"/>
      <c r="H301" s="483"/>
      <c r="I301" s="568"/>
      <c r="J301" s="568"/>
      <c r="K301" s="484"/>
      <c r="L301" s="394"/>
      <c r="M301" s="394"/>
      <c r="N301" s="394"/>
      <c r="O301" s="486"/>
      <c r="P301" s="394"/>
      <c r="Q301" s="394"/>
      <c r="R301" s="487"/>
      <c r="S301" s="487"/>
      <c r="T301" s="487"/>
      <c r="U301" s="489"/>
      <c r="V301" s="490"/>
      <c r="W301" s="394"/>
      <c r="X301" s="394"/>
      <c r="Y301" s="394"/>
      <c r="Z301" s="394"/>
      <c r="AA301" s="394"/>
      <c r="AB301" s="394"/>
      <c r="AC301" s="394"/>
      <c r="AD301" s="394"/>
      <c r="AE301" s="394"/>
      <c r="AF301" s="394"/>
      <c r="AG301" s="394"/>
      <c r="AH301" s="394"/>
      <c r="AI301" s="394"/>
      <c r="AJ301" s="394"/>
      <c r="AK301" s="394"/>
      <c r="AL301" s="394"/>
      <c r="AM301" s="394"/>
      <c r="AN301" s="394"/>
      <c r="AO301" s="394"/>
      <c r="AP301" s="394"/>
      <c r="AQ301" s="394"/>
      <c r="AR301" s="394"/>
      <c r="AS301" s="394"/>
      <c r="AT301" s="394"/>
      <c r="AU301" s="394"/>
      <c r="AV301" s="394"/>
      <c r="AW301" s="394"/>
      <c r="AX301" s="394"/>
      <c r="AY301" s="394"/>
      <c r="AZ301" s="394"/>
      <c r="BA301" s="394"/>
      <c r="BB301" s="394"/>
      <c r="BC301" s="394"/>
      <c r="BD301" s="394"/>
      <c r="BE301" s="394"/>
      <c r="BF301" s="394"/>
      <c r="BG301" s="394"/>
      <c r="BH301" s="394"/>
      <c r="BI301" s="394"/>
      <c r="BJ301" s="394"/>
    </row>
    <row r="302" spans="5:62">
      <c r="E302" s="384"/>
      <c r="I302" s="569"/>
      <c r="J302" s="569"/>
      <c r="K302" s="384"/>
      <c r="L302" s="384"/>
      <c r="M302" s="384"/>
      <c r="N302" s="384"/>
      <c r="O302" s="384"/>
      <c r="P302" s="384"/>
      <c r="Q302" s="384"/>
      <c r="R302" s="384"/>
      <c r="S302" s="384"/>
      <c r="T302" s="384"/>
      <c r="U302" s="384"/>
      <c r="V302" s="384"/>
    </row>
    <row r="303" spans="5:62">
      <c r="E303" s="384"/>
      <c r="I303" s="569"/>
      <c r="J303" s="569"/>
      <c r="K303" s="384"/>
      <c r="L303" s="384"/>
      <c r="M303" s="384"/>
      <c r="N303" s="384"/>
      <c r="O303" s="384"/>
      <c r="P303" s="384"/>
      <c r="Q303" s="384"/>
      <c r="R303" s="384"/>
      <c r="S303" s="384"/>
      <c r="T303" s="384"/>
      <c r="U303" s="384"/>
      <c r="V303" s="384"/>
    </row>
    <row r="304" spans="5:62">
      <c r="E304" s="384"/>
      <c r="I304" s="569"/>
      <c r="J304" s="569"/>
      <c r="K304" s="384"/>
      <c r="L304" s="384"/>
      <c r="M304" s="384"/>
      <c r="N304" s="384"/>
      <c r="O304" s="384"/>
      <c r="P304" s="384"/>
      <c r="Q304" s="384"/>
      <c r="R304" s="384"/>
      <c r="S304" s="384"/>
      <c r="T304" s="384"/>
      <c r="U304" s="384"/>
      <c r="V304" s="384"/>
    </row>
    <row r="305" spans="5:22">
      <c r="E305" s="384"/>
      <c r="I305" s="569"/>
      <c r="J305" s="569"/>
      <c r="K305" s="384"/>
      <c r="L305" s="384"/>
      <c r="M305" s="384"/>
      <c r="N305" s="384"/>
      <c r="O305" s="384"/>
      <c r="P305" s="384"/>
      <c r="Q305" s="384"/>
      <c r="R305" s="384"/>
      <c r="S305" s="384"/>
      <c r="T305" s="384"/>
      <c r="U305" s="384"/>
      <c r="V305" s="384"/>
    </row>
    <row r="306" spans="5:22">
      <c r="E306" s="384"/>
      <c r="I306" s="569"/>
      <c r="J306" s="569"/>
      <c r="K306" s="384"/>
      <c r="L306" s="384"/>
      <c r="M306" s="384"/>
      <c r="N306" s="384"/>
      <c r="O306" s="384"/>
      <c r="P306" s="384"/>
      <c r="Q306" s="384"/>
      <c r="R306" s="384"/>
      <c r="S306" s="384"/>
      <c r="T306" s="384"/>
      <c r="U306" s="384"/>
      <c r="V306" s="384"/>
    </row>
    <row r="307" spans="5:22">
      <c r="E307" s="384"/>
      <c r="I307" s="569"/>
      <c r="J307" s="569"/>
      <c r="K307" s="384"/>
      <c r="L307" s="384"/>
      <c r="M307" s="384"/>
      <c r="N307" s="384"/>
      <c r="O307" s="384"/>
      <c r="P307" s="384"/>
      <c r="Q307" s="384"/>
      <c r="R307" s="384"/>
      <c r="S307" s="384"/>
      <c r="T307" s="384"/>
      <c r="U307" s="384"/>
      <c r="V307" s="384"/>
    </row>
    <row r="308" spans="5:22">
      <c r="E308" s="384"/>
      <c r="I308" s="569"/>
      <c r="J308" s="569"/>
      <c r="K308" s="384"/>
      <c r="L308" s="384"/>
      <c r="M308" s="384"/>
      <c r="N308" s="384"/>
      <c r="O308" s="384"/>
      <c r="P308" s="384"/>
      <c r="Q308" s="384"/>
      <c r="R308" s="384"/>
      <c r="S308" s="384"/>
      <c r="T308" s="384"/>
      <c r="U308" s="384"/>
      <c r="V308" s="384"/>
    </row>
    <row r="309" spans="5:22">
      <c r="E309" s="384"/>
      <c r="I309" s="569"/>
      <c r="J309" s="569"/>
      <c r="K309" s="384"/>
      <c r="L309" s="384"/>
      <c r="M309" s="384"/>
      <c r="N309" s="384"/>
      <c r="O309" s="384"/>
      <c r="P309" s="384"/>
      <c r="Q309" s="384"/>
      <c r="R309" s="384"/>
      <c r="S309" s="384"/>
      <c r="T309" s="384"/>
      <c r="U309" s="384"/>
      <c r="V309" s="384"/>
    </row>
    <row r="310" spans="5:22">
      <c r="E310" s="384"/>
      <c r="I310" s="569"/>
      <c r="J310" s="569"/>
      <c r="K310" s="384"/>
      <c r="L310" s="384"/>
      <c r="M310" s="384"/>
      <c r="N310" s="384"/>
      <c r="O310" s="384"/>
      <c r="P310" s="384"/>
      <c r="Q310" s="384"/>
      <c r="R310" s="384"/>
      <c r="S310" s="384"/>
      <c r="T310" s="384"/>
      <c r="U310" s="384"/>
      <c r="V310" s="384"/>
    </row>
    <row r="311" spans="5:22">
      <c r="E311" s="384"/>
      <c r="I311" s="569"/>
      <c r="J311" s="569"/>
      <c r="K311" s="384"/>
      <c r="L311" s="384"/>
      <c r="M311" s="384"/>
      <c r="N311" s="384"/>
      <c r="O311" s="384"/>
      <c r="P311" s="384"/>
      <c r="Q311" s="384"/>
      <c r="R311" s="384"/>
      <c r="S311" s="384"/>
      <c r="T311" s="384"/>
      <c r="U311" s="384"/>
      <c r="V311" s="384"/>
    </row>
    <row r="312" spans="5:22">
      <c r="E312" s="384"/>
      <c r="I312" s="569"/>
      <c r="J312" s="569"/>
      <c r="K312" s="384"/>
      <c r="L312" s="384"/>
      <c r="M312" s="384"/>
      <c r="N312" s="384"/>
      <c r="O312" s="384"/>
      <c r="P312" s="384"/>
      <c r="Q312" s="384"/>
      <c r="R312" s="384"/>
      <c r="S312" s="384"/>
      <c r="T312" s="384"/>
      <c r="U312" s="384"/>
      <c r="V312" s="384"/>
    </row>
    <row r="313" spans="5:22">
      <c r="E313" s="384"/>
      <c r="I313" s="569"/>
      <c r="J313" s="569"/>
      <c r="K313" s="384"/>
      <c r="L313" s="384"/>
      <c r="M313" s="384"/>
      <c r="N313" s="384"/>
      <c r="O313" s="384"/>
      <c r="P313" s="384"/>
      <c r="Q313" s="384"/>
      <c r="R313" s="384"/>
      <c r="S313" s="384"/>
      <c r="T313" s="384"/>
      <c r="U313" s="384"/>
      <c r="V313" s="384"/>
    </row>
    <row r="314" spans="5:22">
      <c r="E314" s="384"/>
      <c r="I314" s="569"/>
      <c r="J314" s="569"/>
      <c r="K314" s="384"/>
      <c r="L314" s="384"/>
      <c r="M314" s="384"/>
      <c r="N314" s="384"/>
      <c r="O314" s="384"/>
      <c r="P314" s="384"/>
      <c r="Q314" s="384"/>
      <c r="R314" s="384"/>
      <c r="S314" s="384"/>
      <c r="T314" s="384"/>
      <c r="U314" s="384"/>
      <c r="V314" s="384"/>
    </row>
    <row r="315" spans="5:22">
      <c r="E315" s="384"/>
      <c r="I315" s="569"/>
      <c r="J315" s="569"/>
      <c r="K315" s="384"/>
      <c r="L315" s="384"/>
      <c r="M315" s="384"/>
      <c r="N315" s="384"/>
      <c r="O315" s="384"/>
      <c r="P315" s="384"/>
      <c r="Q315" s="384"/>
      <c r="R315" s="384"/>
      <c r="S315" s="384"/>
      <c r="T315" s="384"/>
      <c r="U315" s="384"/>
      <c r="V315" s="384"/>
    </row>
    <row r="316" spans="5:22">
      <c r="E316" s="384"/>
      <c r="I316" s="569"/>
      <c r="J316" s="569"/>
      <c r="K316" s="384"/>
      <c r="L316" s="384"/>
      <c r="M316" s="384"/>
      <c r="N316" s="384"/>
      <c r="O316" s="384"/>
      <c r="P316" s="384"/>
      <c r="Q316" s="384"/>
      <c r="R316" s="384"/>
      <c r="S316" s="384"/>
      <c r="T316" s="384"/>
      <c r="U316" s="384"/>
      <c r="V316" s="384"/>
    </row>
    <row r="317" spans="5:22">
      <c r="E317" s="384"/>
      <c r="I317" s="569"/>
      <c r="J317" s="569"/>
      <c r="K317" s="384"/>
      <c r="L317" s="384"/>
      <c r="M317" s="384"/>
      <c r="N317" s="384"/>
      <c r="O317" s="384"/>
      <c r="P317" s="384"/>
      <c r="Q317" s="384"/>
      <c r="R317" s="384"/>
      <c r="S317" s="384"/>
      <c r="T317" s="384"/>
      <c r="U317" s="384"/>
      <c r="V317" s="384"/>
    </row>
    <row r="318" spans="5:22">
      <c r="E318" s="384"/>
      <c r="I318" s="569"/>
      <c r="J318" s="569"/>
      <c r="K318" s="384"/>
      <c r="L318" s="384"/>
      <c r="M318" s="384"/>
      <c r="N318" s="384"/>
      <c r="O318" s="384"/>
      <c r="P318" s="384"/>
      <c r="Q318" s="384"/>
      <c r="R318" s="384"/>
      <c r="S318" s="384"/>
      <c r="T318" s="384"/>
      <c r="U318" s="384"/>
      <c r="V318" s="384"/>
    </row>
    <row r="319" spans="5:22">
      <c r="E319" s="384"/>
      <c r="I319" s="569"/>
      <c r="J319" s="569"/>
      <c r="K319" s="384"/>
      <c r="L319" s="384"/>
      <c r="M319" s="384"/>
      <c r="N319" s="384"/>
      <c r="O319" s="384"/>
      <c r="P319" s="384"/>
      <c r="Q319" s="384"/>
      <c r="R319" s="384"/>
      <c r="S319" s="384"/>
      <c r="T319" s="384"/>
      <c r="U319" s="384"/>
      <c r="V319" s="384"/>
    </row>
    <row r="320" spans="5:22">
      <c r="E320" s="384"/>
      <c r="I320" s="569"/>
      <c r="J320" s="569"/>
      <c r="K320" s="384"/>
      <c r="L320" s="384"/>
      <c r="M320" s="384"/>
      <c r="N320" s="384"/>
      <c r="O320" s="384"/>
      <c r="P320" s="384"/>
      <c r="Q320" s="384"/>
      <c r="R320" s="384"/>
      <c r="S320" s="384"/>
      <c r="T320" s="384"/>
      <c r="U320" s="384"/>
      <c r="V320" s="384"/>
    </row>
    <row r="321" spans="5:22">
      <c r="E321" s="384"/>
      <c r="I321" s="569"/>
      <c r="J321" s="569"/>
      <c r="K321" s="384"/>
      <c r="L321" s="384"/>
      <c r="M321" s="384"/>
      <c r="N321" s="384"/>
      <c r="O321" s="384"/>
      <c r="P321" s="384"/>
      <c r="Q321" s="384"/>
      <c r="R321" s="384"/>
      <c r="S321" s="384"/>
      <c r="T321" s="384"/>
      <c r="U321" s="384"/>
      <c r="V321" s="384"/>
    </row>
    <row r="322" spans="5:22">
      <c r="E322" s="384"/>
      <c r="I322" s="569"/>
      <c r="J322" s="569"/>
      <c r="K322" s="384"/>
      <c r="L322" s="384"/>
      <c r="M322" s="384"/>
      <c r="N322" s="384"/>
      <c r="O322" s="384"/>
      <c r="P322" s="384"/>
      <c r="Q322" s="384"/>
      <c r="R322" s="384"/>
      <c r="S322" s="384"/>
      <c r="T322" s="384"/>
      <c r="U322" s="384"/>
      <c r="V322" s="384"/>
    </row>
    <row r="323" spans="5:22">
      <c r="E323" s="384"/>
      <c r="I323" s="569"/>
      <c r="J323" s="569"/>
      <c r="K323" s="384"/>
      <c r="L323" s="384"/>
      <c r="M323" s="384"/>
      <c r="N323" s="384"/>
      <c r="O323" s="384"/>
      <c r="P323" s="384"/>
      <c r="Q323" s="384"/>
      <c r="R323" s="384"/>
      <c r="S323" s="384"/>
      <c r="T323" s="384"/>
      <c r="U323" s="384"/>
      <c r="V323" s="384"/>
    </row>
    <row r="324" spans="5:22">
      <c r="E324" s="384"/>
      <c r="I324" s="569"/>
      <c r="J324" s="569"/>
      <c r="K324" s="384"/>
      <c r="L324" s="384"/>
      <c r="M324" s="384"/>
      <c r="N324" s="384"/>
      <c r="O324" s="384"/>
      <c r="P324" s="384"/>
      <c r="Q324" s="384"/>
      <c r="R324" s="384"/>
      <c r="S324" s="384"/>
      <c r="T324" s="384"/>
      <c r="U324" s="384"/>
      <c r="V324" s="384"/>
    </row>
    <row r="325" spans="5:22">
      <c r="E325" s="384"/>
      <c r="I325" s="569"/>
      <c r="J325" s="569"/>
      <c r="K325" s="384"/>
      <c r="L325" s="384"/>
      <c r="M325" s="384"/>
      <c r="N325" s="384"/>
      <c r="O325" s="384"/>
      <c r="P325" s="384"/>
      <c r="Q325" s="384"/>
      <c r="R325" s="384"/>
      <c r="S325" s="384"/>
      <c r="T325" s="384"/>
      <c r="U325" s="384"/>
      <c r="V325" s="384"/>
    </row>
    <row r="326" spans="5:22">
      <c r="E326" s="384"/>
      <c r="I326" s="569"/>
      <c r="J326" s="569"/>
      <c r="K326" s="384"/>
      <c r="L326" s="384"/>
      <c r="M326" s="384"/>
      <c r="N326" s="384"/>
      <c r="O326" s="384"/>
      <c r="P326" s="384"/>
      <c r="Q326" s="384"/>
      <c r="R326" s="384"/>
      <c r="S326" s="384"/>
      <c r="T326" s="384"/>
      <c r="U326" s="384"/>
      <c r="V326" s="384"/>
    </row>
    <row r="327" spans="5:22">
      <c r="E327" s="384"/>
      <c r="I327" s="569"/>
      <c r="J327" s="569"/>
      <c r="K327" s="384"/>
      <c r="L327" s="384"/>
      <c r="M327" s="384"/>
      <c r="N327" s="384"/>
      <c r="O327" s="384"/>
      <c r="P327" s="384"/>
      <c r="Q327" s="384"/>
      <c r="R327" s="384"/>
      <c r="S327" s="384"/>
      <c r="T327" s="384"/>
      <c r="U327" s="384"/>
      <c r="V327" s="384"/>
    </row>
    <row r="328" spans="5:22">
      <c r="E328" s="384"/>
      <c r="I328" s="569"/>
      <c r="J328" s="569"/>
      <c r="K328" s="384"/>
      <c r="L328" s="384"/>
      <c r="M328" s="384"/>
      <c r="N328" s="384"/>
      <c r="O328" s="384"/>
      <c r="P328" s="384"/>
      <c r="Q328" s="384"/>
      <c r="R328" s="384"/>
      <c r="S328" s="384"/>
      <c r="T328" s="384"/>
      <c r="U328" s="384"/>
      <c r="V328" s="384"/>
    </row>
    <row r="329" spans="5:22">
      <c r="E329" s="384"/>
      <c r="I329" s="569"/>
      <c r="J329" s="569"/>
      <c r="K329" s="384"/>
      <c r="L329" s="384"/>
      <c r="M329" s="384"/>
      <c r="N329" s="384"/>
      <c r="O329" s="384"/>
      <c r="P329" s="384"/>
      <c r="Q329" s="384"/>
      <c r="R329" s="384"/>
      <c r="S329" s="384"/>
      <c r="T329" s="384"/>
      <c r="U329" s="384"/>
      <c r="V329" s="384"/>
    </row>
    <row r="330" spans="5:22">
      <c r="E330" s="384"/>
      <c r="I330" s="569"/>
      <c r="J330" s="569"/>
      <c r="K330" s="384"/>
      <c r="L330" s="384"/>
      <c r="M330" s="384"/>
      <c r="N330" s="384"/>
      <c r="O330" s="384"/>
      <c r="P330" s="384"/>
      <c r="Q330" s="384"/>
      <c r="R330" s="384"/>
      <c r="S330" s="384"/>
      <c r="T330" s="384"/>
      <c r="U330" s="384"/>
      <c r="V330" s="384"/>
    </row>
    <row r="331" spans="5:22">
      <c r="E331" s="384"/>
      <c r="I331" s="569"/>
      <c r="J331" s="569"/>
      <c r="K331" s="384"/>
      <c r="L331" s="384"/>
      <c r="M331" s="384"/>
      <c r="N331" s="384"/>
      <c r="O331" s="384"/>
      <c r="P331" s="384"/>
      <c r="Q331" s="384"/>
      <c r="R331" s="384"/>
      <c r="S331" s="384"/>
      <c r="T331" s="384"/>
      <c r="U331" s="384"/>
      <c r="V331" s="384"/>
    </row>
    <row r="332" spans="5:22">
      <c r="E332" s="384"/>
      <c r="I332" s="569"/>
      <c r="J332" s="569"/>
      <c r="K332" s="384"/>
      <c r="L332" s="384"/>
      <c r="M332" s="384"/>
      <c r="N332" s="384"/>
      <c r="O332" s="384"/>
      <c r="P332" s="384"/>
      <c r="Q332" s="384"/>
      <c r="R332" s="384"/>
      <c r="S332" s="384"/>
      <c r="T332" s="384"/>
      <c r="U332" s="384"/>
      <c r="V332" s="384"/>
    </row>
    <row r="333" spans="5:22">
      <c r="E333" s="384"/>
      <c r="I333" s="569"/>
      <c r="J333" s="569"/>
      <c r="K333" s="384"/>
      <c r="L333" s="384"/>
      <c r="M333" s="384"/>
      <c r="N333" s="384"/>
      <c r="O333" s="384"/>
      <c r="P333" s="384"/>
      <c r="Q333" s="384"/>
      <c r="R333" s="384"/>
      <c r="S333" s="384"/>
      <c r="T333" s="384"/>
      <c r="U333" s="384"/>
      <c r="V333" s="384"/>
    </row>
    <row r="334" spans="5:22">
      <c r="E334" s="384"/>
      <c r="I334" s="569"/>
      <c r="J334" s="569"/>
      <c r="K334" s="384"/>
      <c r="L334" s="384"/>
      <c r="M334" s="384"/>
      <c r="N334" s="384"/>
      <c r="O334" s="384"/>
      <c r="P334" s="384"/>
      <c r="Q334" s="384"/>
      <c r="R334" s="384"/>
      <c r="S334" s="384"/>
      <c r="T334" s="384"/>
      <c r="U334" s="384"/>
      <c r="V334" s="384"/>
    </row>
    <row r="335" spans="5:22">
      <c r="E335" s="384"/>
      <c r="I335" s="569"/>
      <c r="J335" s="569"/>
      <c r="K335" s="384"/>
      <c r="L335" s="384"/>
      <c r="M335" s="384"/>
      <c r="N335" s="384"/>
      <c r="O335" s="384"/>
      <c r="P335" s="384"/>
      <c r="Q335" s="384"/>
      <c r="R335" s="384"/>
      <c r="S335" s="384"/>
      <c r="T335" s="384"/>
      <c r="U335" s="384"/>
      <c r="V335" s="384"/>
    </row>
    <row r="336" spans="5:22">
      <c r="E336" s="384"/>
      <c r="I336" s="569"/>
      <c r="J336" s="569"/>
      <c r="K336" s="384"/>
      <c r="L336" s="384"/>
      <c r="M336" s="384"/>
      <c r="N336" s="384"/>
      <c r="O336" s="384"/>
      <c r="P336" s="384"/>
      <c r="Q336" s="384"/>
      <c r="R336" s="384"/>
      <c r="S336" s="384"/>
      <c r="T336" s="384"/>
      <c r="U336" s="384"/>
      <c r="V336" s="384"/>
    </row>
    <row r="337" spans="5:22">
      <c r="E337" s="384"/>
      <c r="I337" s="569"/>
      <c r="J337" s="569"/>
      <c r="K337" s="384"/>
      <c r="L337" s="384"/>
      <c r="M337" s="384"/>
      <c r="N337" s="384"/>
      <c r="O337" s="384"/>
      <c r="P337" s="384"/>
      <c r="Q337" s="384"/>
      <c r="R337" s="384"/>
      <c r="S337" s="384"/>
      <c r="T337" s="384"/>
      <c r="U337" s="384"/>
      <c r="V337" s="384"/>
    </row>
    <row r="338" spans="5:22">
      <c r="E338" s="384"/>
      <c r="I338" s="569"/>
      <c r="J338" s="569"/>
      <c r="K338" s="384"/>
      <c r="L338" s="384"/>
      <c r="M338" s="384"/>
      <c r="N338" s="384"/>
      <c r="O338" s="384"/>
      <c r="P338" s="384"/>
      <c r="Q338" s="384"/>
      <c r="R338" s="384"/>
      <c r="S338" s="384"/>
      <c r="T338" s="384"/>
      <c r="U338" s="384"/>
      <c r="V338" s="384"/>
    </row>
    <row r="339" spans="5:22">
      <c r="E339" s="384"/>
      <c r="I339" s="569"/>
      <c r="J339" s="569"/>
      <c r="K339" s="384"/>
      <c r="L339" s="384"/>
      <c r="M339" s="384"/>
      <c r="N339" s="384"/>
      <c r="O339" s="384"/>
      <c r="P339" s="384"/>
      <c r="Q339" s="384"/>
      <c r="R339" s="384"/>
      <c r="S339" s="384"/>
      <c r="T339" s="384"/>
      <c r="U339" s="384"/>
      <c r="V339" s="384"/>
    </row>
    <row r="340" spans="5:22">
      <c r="E340" s="384"/>
      <c r="I340" s="569"/>
      <c r="J340" s="569"/>
      <c r="K340" s="384"/>
      <c r="L340" s="384"/>
      <c r="M340" s="384"/>
      <c r="N340" s="384"/>
      <c r="O340" s="384"/>
      <c r="P340" s="384"/>
      <c r="Q340" s="384"/>
      <c r="R340" s="384"/>
      <c r="S340" s="384"/>
      <c r="T340" s="384"/>
      <c r="U340" s="384"/>
      <c r="V340" s="384"/>
    </row>
    <row r="341" spans="5:22">
      <c r="E341" s="384"/>
      <c r="I341" s="569"/>
      <c r="J341" s="569"/>
      <c r="K341" s="384"/>
      <c r="L341" s="384"/>
      <c r="M341" s="384"/>
      <c r="N341" s="384"/>
      <c r="O341" s="384"/>
      <c r="P341" s="384"/>
      <c r="Q341" s="384"/>
      <c r="R341" s="384"/>
      <c r="S341" s="384"/>
      <c r="T341" s="384"/>
      <c r="U341" s="384"/>
      <c r="V341" s="384"/>
    </row>
    <row r="342" spans="5:22">
      <c r="E342" s="384"/>
      <c r="I342" s="569"/>
      <c r="J342" s="569"/>
      <c r="K342" s="384"/>
      <c r="L342" s="384"/>
      <c r="M342" s="384"/>
      <c r="N342" s="384"/>
      <c r="O342" s="384"/>
      <c r="P342" s="384"/>
      <c r="Q342" s="384"/>
      <c r="R342" s="384"/>
      <c r="S342" s="384"/>
      <c r="T342" s="384"/>
      <c r="U342" s="384"/>
      <c r="V342" s="384"/>
    </row>
    <row r="343" spans="5:22">
      <c r="E343" s="384"/>
      <c r="I343" s="569"/>
      <c r="J343" s="569"/>
      <c r="K343" s="384"/>
      <c r="L343" s="384"/>
      <c r="M343" s="384"/>
      <c r="N343" s="384"/>
      <c r="O343" s="384"/>
      <c r="P343" s="384"/>
      <c r="Q343" s="384"/>
      <c r="R343" s="384"/>
      <c r="S343" s="384"/>
      <c r="T343" s="384"/>
      <c r="U343" s="384"/>
      <c r="V343" s="384"/>
    </row>
    <row r="344" spans="5:22">
      <c r="E344" s="384"/>
      <c r="I344" s="569"/>
      <c r="J344" s="569"/>
      <c r="K344" s="384"/>
      <c r="L344" s="384"/>
      <c r="M344" s="384"/>
      <c r="N344" s="384"/>
      <c r="O344" s="384"/>
      <c r="P344" s="384"/>
      <c r="Q344" s="384"/>
      <c r="R344" s="384"/>
      <c r="S344" s="384"/>
      <c r="T344" s="384"/>
      <c r="U344" s="384"/>
      <c r="V344" s="384"/>
    </row>
    <row r="345" spans="5:22">
      <c r="E345" s="384"/>
      <c r="I345" s="569"/>
      <c r="J345" s="569"/>
      <c r="K345" s="384"/>
      <c r="L345" s="384"/>
      <c r="M345" s="384"/>
      <c r="N345" s="384"/>
      <c r="O345" s="384"/>
      <c r="P345" s="384"/>
      <c r="Q345" s="384"/>
      <c r="R345" s="384"/>
      <c r="S345" s="384"/>
      <c r="T345" s="384"/>
      <c r="U345" s="384"/>
      <c r="V345" s="384"/>
    </row>
    <row r="346" spans="5:22">
      <c r="E346" s="384"/>
      <c r="I346" s="569"/>
      <c r="J346" s="569"/>
      <c r="K346" s="384"/>
      <c r="L346" s="384"/>
      <c r="M346" s="384"/>
      <c r="N346" s="384"/>
      <c r="O346" s="384"/>
      <c r="P346" s="384"/>
      <c r="Q346" s="384"/>
      <c r="R346" s="384"/>
      <c r="S346" s="384"/>
      <c r="T346" s="384"/>
      <c r="U346" s="384"/>
      <c r="V346" s="384"/>
    </row>
    <row r="347" spans="5:22">
      <c r="E347" s="384"/>
      <c r="I347" s="569"/>
      <c r="J347" s="569"/>
      <c r="K347" s="384"/>
      <c r="L347" s="384"/>
      <c r="M347" s="384"/>
      <c r="N347" s="384"/>
      <c r="O347" s="384"/>
      <c r="P347" s="384"/>
      <c r="Q347" s="384"/>
      <c r="R347" s="384"/>
      <c r="S347" s="384"/>
      <c r="T347" s="384"/>
      <c r="U347" s="384"/>
      <c r="V347" s="384"/>
    </row>
    <row r="348" spans="5:22">
      <c r="E348" s="384"/>
      <c r="I348" s="569"/>
      <c r="J348" s="569"/>
      <c r="K348" s="384"/>
      <c r="L348" s="384"/>
      <c r="M348" s="384"/>
      <c r="N348" s="384"/>
      <c r="O348" s="384"/>
      <c r="P348" s="384"/>
      <c r="Q348" s="384"/>
      <c r="R348" s="384"/>
      <c r="S348" s="384"/>
      <c r="T348" s="384"/>
      <c r="U348" s="384"/>
      <c r="V348" s="384"/>
    </row>
    <row r="349" spans="5:22">
      <c r="E349" s="384" t="s">
        <v>1096</v>
      </c>
      <c r="I349" s="569"/>
      <c r="J349" s="569"/>
      <c r="K349" s="384"/>
      <c r="L349" s="384"/>
      <c r="M349" s="384"/>
      <c r="N349" s="384"/>
      <c r="O349" s="384"/>
      <c r="P349" s="384"/>
      <c r="Q349" s="384"/>
      <c r="R349" s="384"/>
      <c r="S349" s="384"/>
      <c r="T349" s="384"/>
      <c r="U349" s="384"/>
      <c r="V349" s="384"/>
    </row>
    <row r="350" spans="5:22">
      <c r="E350" s="384" t="s">
        <v>1097</v>
      </c>
      <c r="I350" s="569"/>
      <c r="J350" s="569"/>
      <c r="K350" s="384"/>
      <c r="L350" s="384"/>
      <c r="M350" s="384"/>
      <c r="N350" s="384"/>
      <c r="O350" s="384"/>
      <c r="P350" s="384"/>
      <c r="Q350" s="384"/>
      <c r="R350" s="384"/>
      <c r="S350" s="384"/>
      <c r="T350" s="384"/>
      <c r="U350" s="384"/>
      <c r="V350" s="384"/>
    </row>
    <row r="351" spans="5:22">
      <c r="E351" s="384" t="s">
        <v>1099</v>
      </c>
      <c r="I351" s="569"/>
      <c r="J351" s="569"/>
      <c r="K351" s="384"/>
      <c r="L351" s="384"/>
      <c r="M351" s="384"/>
      <c r="N351" s="384"/>
      <c r="O351" s="384"/>
      <c r="P351" s="384"/>
      <c r="Q351" s="384"/>
      <c r="R351" s="384"/>
      <c r="S351" s="384"/>
      <c r="T351" s="384"/>
      <c r="U351" s="384"/>
      <c r="V351" s="384"/>
    </row>
    <row r="352" spans="5:22">
      <c r="E352" s="384" t="s">
        <v>1089</v>
      </c>
      <c r="I352" s="569"/>
      <c r="J352" s="569"/>
      <c r="K352" s="384"/>
      <c r="L352" s="384"/>
      <c r="M352" s="384"/>
      <c r="N352" s="384"/>
      <c r="O352" s="384"/>
      <c r="P352" s="384"/>
      <c r="Q352" s="384"/>
      <c r="R352" s="384"/>
      <c r="S352" s="384"/>
      <c r="T352" s="384"/>
      <c r="U352" s="384"/>
      <c r="V352" s="384"/>
    </row>
    <row r="353" spans="5:22">
      <c r="E353" s="384" t="s">
        <v>1090</v>
      </c>
      <c r="I353" s="569"/>
      <c r="J353" s="569"/>
      <c r="K353" s="384"/>
      <c r="L353" s="384"/>
      <c r="M353" s="384"/>
      <c r="N353" s="384"/>
      <c r="O353" s="384"/>
      <c r="P353" s="384"/>
      <c r="Q353" s="384"/>
      <c r="R353" s="384"/>
      <c r="S353" s="384"/>
      <c r="T353" s="384"/>
      <c r="U353" s="384"/>
      <c r="V353" s="384"/>
    </row>
    <row r="354" spans="5:22">
      <c r="E354" s="384" t="s">
        <v>1091</v>
      </c>
      <c r="I354" s="569"/>
      <c r="J354" s="569"/>
      <c r="K354" s="384"/>
      <c r="L354" s="384"/>
      <c r="M354" s="384"/>
      <c r="N354" s="384"/>
      <c r="O354" s="384"/>
      <c r="P354" s="384"/>
      <c r="Q354" s="384"/>
      <c r="R354" s="384"/>
      <c r="S354" s="384"/>
      <c r="T354" s="384"/>
      <c r="U354" s="384"/>
      <c r="V354" s="384"/>
    </row>
    <row r="355" spans="5:22">
      <c r="E355" s="384"/>
      <c r="I355" s="569"/>
      <c r="J355" s="569"/>
      <c r="K355" s="384"/>
      <c r="L355" s="384"/>
      <c r="M355" s="384"/>
      <c r="N355" s="384"/>
      <c r="O355" s="384"/>
      <c r="P355" s="384"/>
      <c r="Q355" s="384"/>
      <c r="R355" s="384"/>
      <c r="S355" s="384"/>
      <c r="T355" s="384"/>
      <c r="U355" s="384"/>
      <c r="V355" s="384"/>
    </row>
    <row r="356" spans="5:22">
      <c r="I356" s="569"/>
      <c r="J356" s="569"/>
      <c r="K356" s="384"/>
      <c r="L356" s="384"/>
      <c r="M356" s="384"/>
      <c r="N356" s="384"/>
      <c r="O356" s="384"/>
      <c r="P356" s="384"/>
      <c r="Q356" s="384"/>
      <c r="R356" s="384"/>
      <c r="S356" s="384"/>
      <c r="T356" s="384"/>
      <c r="U356" s="384"/>
      <c r="V356" s="384"/>
    </row>
    <row r="357" spans="5:22">
      <c r="I357" s="569"/>
      <c r="J357" s="569"/>
      <c r="K357" s="384"/>
      <c r="L357" s="384"/>
      <c r="M357" s="384"/>
      <c r="N357" s="384"/>
      <c r="O357" s="384"/>
      <c r="P357" s="384"/>
      <c r="Q357" s="384"/>
      <c r="R357" s="384"/>
      <c r="S357" s="384"/>
      <c r="T357" s="384"/>
      <c r="U357" s="384"/>
      <c r="V357" s="384"/>
    </row>
    <row r="358" spans="5:22">
      <c r="I358" s="569"/>
      <c r="J358" s="569"/>
      <c r="K358" s="384"/>
      <c r="L358" s="384"/>
      <c r="M358" s="384"/>
      <c r="N358" s="384"/>
      <c r="O358" s="384"/>
      <c r="P358" s="384"/>
      <c r="Q358" s="384"/>
      <c r="R358" s="384"/>
      <c r="S358" s="384"/>
      <c r="T358" s="384"/>
      <c r="U358" s="384"/>
      <c r="V358" s="384"/>
    </row>
    <row r="359" spans="5:22">
      <c r="I359" s="569"/>
      <c r="J359" s="569"/>
      <c r="K359" s="384"/>
      <c r="L359" s="384"/>
      <c r="M359" s="384"/>
      <c r="N359" s="384"/>
      <c r="O359" s="384"/>
      <c r="P359" s="384"/>
      <c r="Q359" s="384"/>
      <c r="R359" s="384"/>
      <c r="S359" s="384"/>
      <c r="T359" s="384"/>
      <c r="U359" s="384"/>
      <c r="V359" s="384"/>
    </row>
    <row r="360" spans="5:22">
      <c r="I360" s="569"/>
      <c r="J360" s="569"/>
      <c r="K360" s="384"/>
      <c r="L360" s="384"/>
      <c r="M360" s="384"/>
      <c r="N360" s="384"/>
      <c r="O360" s="384"/>
      <c r="P360" s="384"/>
      <c r="Q360" s="384"/>
      <c r="R360" s="384"/>
      <c r="S360" s="384"/>
      <c r="T360" s="384"/>
      <c r="U360" s="384"/>
      <c r="V360" s="384"/>
    </row>
    <row r="361" spans="5:22">
      <c r="I361" s="569"/>
      <c r="J361" s="569"/>
      <c r="K361" s="384"/>
      <c r="L361" s="384"/>
      <c r="M361" s="384"/>
      <c r="N361" s="384"/>
      <c r="O361" s="384"/>
      <c r="P361" s="384"/>
      <c r="Q361" s="384"/>
      <c r="R361" s="384"/>
      <c r="S361" s="384"/>
      <c r="T361" s="384"/>
      <c r="U361" s="384"/>
      <c r="V361" s="384"/>
    </row>
    <row r="362" spans="5:22">
      <c r="I362" s="569"/>
      <c r="J362" s="569"/>
      <c r="K362" s="384"/>
      <c r="L362" s="384"/>
      <c r="M362" s="384"/>
      <c r="N362" s="384"/>
      <c r="O362" s="384"/>
      <c r="P362" s="384"/>
      <c r="Q362" s="384"/>
      <c r="R362" s="384"/>
      <c r="S362" s="384"/>
      <c r="T362" s="384"/>
      <c r="U362" s="384"/>
      <c r="V362" s="384"/>
    </row>
    <row r="363" spans="5:22">
      <c r="I363" s="569"/>
      <c r="J363" s="569"/>
      <c r="K363" s="384"/>
      <c r="L363" s="384"/>
      <c r="M363" s="384"/>
      <c r="N363" s="384"/>
      <c r="O363" s="384"/>
      <c r="P363" s="384"/>
      <c r="Q363" s="384"/>
      <c r="R363" s="384"/>
      <c r="S363" s="384"/>
      <c r="T363" s="384"/>
      <c r="U363" s="384"/>
      <c r="V363" s="384"/>
    </row>
    <row r="364" spans="5:22">
      <c r="I364" s="569"/>
      <c r="J364" s="569"/>
      <c r="K364" s="384"/>
      <c r="L364" s="384"/>
      <c r="M364" s="384"/>
      <c r="N364" s="384"/>
      <c r="O364" s="384"/>
      <c r="P364" s="384"/>
      <c r="Q364" s="384"/>
      <c r="R364" s="384"/>
      <c r="S364" s="384"/>
      <c r="T364" s="384"/>
      <c r="U364" s="384"/>
      <c r="V364" s="384"/>
    </row>
    <row r="365" spans="5:22">
      <c r="I365" s="569"/>
      <c r="J365" s="569"/>
      <c r="K365" s="384"/>
      <c r="L365" s="384"/>
      <c r="M365" s="384"/>
      <c r="N365" s="384"/>
      <c r="O365" s="384"/>
      <c r="P365" s="384"/>
      <c r="Q365" s="384"/>
      <c r="R365" s="384"/>
      <c r="S365" s="384"/>
      <c r="T365" s="384"/>
      <c r="U365" s="384"/>
      <c r="V365" s="384"/>
    </row>
    <row r="366" spans="5:22">
      <c r="I366" s="569"/>
      <c r="J366" s="569"/>
      <c r="K366" s="384"/>
      <c r="L366" s="384"/>
      <c r="M366" s="384"/>
      <c r="N366" s="384"/>
      <c r="O366" s="384"/>
      <c r="P366" s="384"/>
      <c r="Q366" s="384"/>
      <c r="R366" s="384"/>
      <c r="S366" s="384"/>
      <c r="T366" s="384"/>
      <c r="U366" s="384"/>
      <c r="V366" s="384"/>
    </row>
    <row r="367" spans="5:22">
      <c r="I367" s="569"/>
      <c r="J367" s="569"/>
      <c r="K367" s="384"/>
      <c r="L367" s="384"/>
      <c r="M367" s="384"/>
      <c r="N367" s="384"/>
      <c r="O367" s="384"/>
      <c r="P367" s="384"/>
      <c r="Q367" s="384"/>
      <c r="R367" s="384"/>
      <c r="S367" s="384"/>
      <c r="T367" s="384"/>
      <c r="U367" s="384"/>
      <c r="V367" s="384"/>
    </row>
    <row r="368" spans="5:22">
      <c r="I368" s="569"/>
      <c r="J368" s="569"/>
      <c r="K368" s="384"/>
      <c r="L368" s="384"/>
      <c r="M368" s="384"/>
      <c r="N368" s="384"/>
      <c r="O368" s="384"/>
      <c r="P368" s="384"/>
      <c r="Q368" s="384"/>
      <c r="R368" s="384"/>
      <c r="S368" s="384"/>
      <c r="T368" s="384"/>
      <c r="U368" s="384"/>
      <c r="V368" s="384"/>
    </row>
    <row r="369" spans="9:22">
      <c r="I369" s="569"/>
      <c r="J369" s="569"/>
      <c r="K369" s="384"/>
      <c r="L369" s="384"/>
      <c r="M369" s="384"/>
      <c r="N369" s="384"/>
      <c r="O369" s="384"/>
      <c r="P369" s="384"/>
      <c r="Q369" s="384"/>
      <c r="R369" s="384"/>
      <c r="S369" s="384"/>
      <c r="T369" s="384"/>
      <c r="U369" s="384"/>
      <c r="V369" s="384"/>
    </row>
    <row r="370" spans="9:22">
      <c r="I370" s="569"/>
      <c r="J370" s="569"/>
      <c r="K370" s="384"/>
      <c r="L370" s="384"/>
      <c r="M370" s="384"/>
      <c r="N370" s="384"/>
      <c r="O370" s="384"/>
      <c r="P370" s="384"/>
      <c r="Q370" s="384"/>
      <c r="R370" s="384"/>
      <c r="S370" s="384"/>
      <c r="T370" s="384"/>
      <c r="U370" s="384"/>
      <c r="V370" s="384"/>
    </row>
    <row r="371" spans="9:22">
      <c r="I371" s="569"/>
      <c r="J371" s="569"/>
      <c r="K371" s="384"/>
      <c r="L371" s="384"/>
      <c r="M371" s="384"/>
      <c r="N371" s="384"/>
      <c r="O371" s="384"/>
      <c r="P371" s="384"/>
      <c r="Q371" s="384"/>
      <c r="R371" s="384"/>
      <c r="S371" s="384"/>
      <c r="T371" s="384"/>
      <c r="U371" s="384"/>
      <c r="V371" s="384"/>
    </row>
  </sheetData>
  <mergeCells count="13">
    <mergeCell ref="AS9:AX9"/>
    <mergeCell ref="AY9:BD9"/>
    <mergeCell ref="BE9:BJ9"/>
    <mergeCell ref="E3:BJ4"/>
    <mergeCell ref="E9:E11"/>
    <mergeCell ref="F9:H11"/>
    <mergeCell ref="I9:L9"/>
    <mergeCell ref="M9:R9"/>
    <mergeCell ref="S9:T9"/>
    <mergeCell ref="U9:Z9"/>
    <mergeCell ref="AA9:AF9"/>
    <mergeCell ref="AG9:AL9"/>
    <mergeCell ref="AM9:AR9"/>
  </mergeCells>
  <conditionalFormatting sqref="BE12:BJ12 M12:AL12">
    <cfRule type="containsText" dxfId="15" priority="7" stopIfTrue="1" operator="containsText" text="0">
      <formula>NOT(ISERROR(SEARCH("0",M12)))</formula>
    </cfRule>
    <cfRule type="containsText" dxfId="14" priority="8" stopIfTrue="1" operator="containsText" text="1">
      <formula>NOT(ISERROR(SEARCH("1",M12)))</formula>
    </cfRule>
  </conditionalFormatting>
  <conditionalFormatting sqref="AM12:AR12">
    <cfRule type="containsText" dxfId="13" priority="5" stopIfTrue="1" operator="containsText" text="0">
      <formula>NOT(ISERROR(SEARCH("0",AM12)))</formula>
    </cfRule>
    <cfRule type="containsText" dxfId="12" priority="6" stopIfTrue="1" operator="containsText" text="1">
      <formula>NOT(ISERROR(SEARCH("1",AM12)))</formula>
    </cfRule>
  </conditionalFormatting>
  <conditionalFormatting sqref="AS12:AX12">
    <cfRule type="containsText" dxfId="11" priority="3" stopIfTrue="1" operator="containsText" text="0">
      <formula>NOT(ISERROR(SEARCH("0",AS12)))</formula>
    </cfRule>
    <cfRule type="containsText" dxfId="10" priority="4" stopIfTrue="1" operator="containsText" text="1">
      <formula>NOT(ISERROR(SEARCH("1",AS12)))</formula>
    </cfRule>
  </conditionalFormatting>
  <conditionalFormatting sqref="AY12:BD12">
    <cfRule type="containsText" dxfId="9" priority="1" stopIfTrue="1" operator="containsText" text="0">
      <formula>NOT(ISERROR(SEARCH("0",AY12)))</formula>
    </cfRule>
    <cfRule type="containsText" dxfId="8" priority="2" stopIfTrue="1" operator="containsText" text="1">
      <formula>NOT(ISERROR(SEARCH("1",AY12)))</formula>
    </cfRule>
  </conditionalFormatting>
  <dataValidations count="2">
    <dataValidation type="list" allowBlank="1" showInputMessage="1" showErrorMessage="1" sqref="WVX983152:WVX983274 J222:J223 I12:I13 I65648:J65770 WMB983152:WMB983274 WCF983152:WCF983274 VSJ983152:VSJ983274 VIN983152:VIN983274 UYR983152:UYR983274 UOV983152:UOV983274 UEZ983152:UEZ983274 TVD983152:TVD983274 TLH983152:TLH983274 TBL983152:TBL983274 SRP983152:SRP983274 SHT983152:SHT983274 RXX983152:RXX983274 ROB983152:ROB983274 REF983152:REF983274 QUJ983152:QUJ983274 QKN983152:QKN983274 QAR983152:QAR983274 PQV983152:PQV983274 PGZ983152:PGZ983274 OXD983152:OXD983274 ONH983152:ONH983274 ODL983152:ODL983274 NTP983152:NTP983274 NJT983152:NJT983274 MZX983152:MZX983274 MQB983152:MQB983274 MGF983152:MGF983274 LWJ983152:LWJ983274 LMN983152:LMN983274 LCR983152:LCR983274 KSV983152:KSV983274 KIZ983152:KIZ983274 JZD983152:JZD983274 JPH983152:JPH983274 JFL983152:JFL983274 IVP983152:IVP983274 ILT983152:ILT983274 IBX983152:IBX983274 HSB983152:HSB983274 HIF983152:HIF983274 GYJ983152:GYJ983274 GON983152:GON983274 GER983152:GER983274 FUV983152:FUV983274 FKZ983152:FKZ983274 FBD983152:FBD983274 ERH983152:ERH983274 EHL983152:EHL983274 DXP983152:DXP983274 DNT983152:DNT983274 DDX983152:DDX983274 CUB983152:CUB983274 CKF983152:CKF983274 CAJ983152:CAJ983274 BQN983152:BQN983274 BGR983152:BGR983274 AWV983152:AWV983274 AMZ983152:AMZ983274 ADD983152:ADD983274 TH983152:TH983274 JL983152:JL983274 I983152:J983274 WVX917616:WVX917738 WMB917616:WMB917738 WCF917616:WCF917738 VSJ917616:VSJ917738 VIN917616:VIN917738 UYR917616:UYR917738 UOV917616:UOV917738 UEZ917616:UEZ917738 TVD917616:TVD917738 TLH917616:TLH917738 TBL917616:TBL917738 SRP917616:SRP917738 SHT917616:SHT917738 RXX917616:RXX917738 ROB917616:ROB917738 REF917616:REF917738 QUJ917616:QUJ917738 QKN917616:QKN917738 QAR917616:QAR917738 PQV917616:PQV917738 PGZ917616:PGZ917738 OXD917616:OXD917738 ONH917616:ONH917738 ODL917616:ODL917738 NTP917616:NTP917738 NJT917616:NJT917738 MZX917616:MZX917738 MQB917616:MQB917738 MGF917616:MGF917738 LWJ917616:LWJ917738 LMN917616:LMN917738 LCR917616:LCR917738 KSV917616:KSV917738 KIZ917616:KIZ917738 JZD917616:JZD917738 JPH917616:JPH917738 JFL917616:JFL917738 IVP917616:IVP917738 ILT917616:ILT917738 IBX917616:IBX917738 HSB917616:HSB917738 HIF917616:HIF917738 GYJ917616:GYJ917738 GON917616:GON917738 GER917616:GER917738 FUV917616:FUV917738 FKZ917616:FKZ917738 FBD917616:FBD917738 ERH917616:ERH917738 EHL917616:EHL917738 DXP917616:DXP917738 DNT917616:DNT917738 DDX917616:DDX917738 CUB917616:CUB917738 CKF917616:CKF917738 CAJ917616:CAJ917738 BQN917616:BQN917738 BGR917616:BGR917738 AWV917616:AWV917738 AMZ917616:AMZ917738 ADD917616:ADD917738 TH917616:TH917738 JL917616:JL917738 I917616:J917738 WVX852080:WVX852202 WMB852080:WMB852202 WCF852080:WCF852202 VSJ852080:VSJ852202 VIN852080:VIN852202 UYR852080:UYR852202 UOV852080:UOV852202 UEZ852080:UEZ852202 TVD852080:TVD852202 TLH852080:TLH852202 TBL852080:TBL852202 SRP852080:SRP852202 SHT852080:SHT852202 RXX852080:RXX852202 ROB852080:ROB852202 REF852080:REF852202 QUJ852080:QUJ852202 QKN852080:QKN852202 QAR852080:QAR852202 PQV852080:PQV852202 PGZ852080:PGZ852202 OXD852080:OXD852202 ONH852080:ONH852202 ODL852080:ODL852202 NTP852080:NTP852202 NJT852080:NJT852202 MZX852080:MZX852202 MQB852080:MQB852202 MGF852080:MGF852202 LWJ852080:LWJ852202 LMN852080:LMN852202 LCR852080:LCR852202 KSV852080:KSV852202 KIZ852080:KIZ852202 JZD852080:JZD852202 JPH852080:JPH852202 JFL852080:JFL852202 IVP852080:IVP852202 ILT852080:ILT852202 IBX852080:IBX852202 HSB852080:HSB852202 HIF852080:HIF852202 GYJ852080:GYJ852202 GON852080:GON852202 GER852080:GER852202 FUV852080:FUV852202 FKZ852080:FKZ852202 FBD852080:FBD852202 ERH852080:ERH852202 EHL852080:EHL852202 DXP852080:DXP852202 DNT852080:DNT852202 DDX852080:DDX852202 CUB852080:CUB852202 CKF852080:CKF852202 CAJ852080:CAJ852202 BQN852080:BQN852202 BGR852080:BGR852202 AWV852080:AWV852202 AMZ852080:AMZ852202 ADD852080:ADD852202 TH852080:TH852202 JL852080:JL852202 I852080:J852202 WVX786544:WVX786666 WMB786544:WMB786666 WCF786544:WCF786666 VSJ786544:VSJ786666 VIN786544:VIN786666 UYR786544:UYR786666 UOV786544:UOV786666 UEZ786544:UEZ786666 TVD786544:TVD786666 TLH786544:TLH786666 TBL786544:TBL786666 SRP786544:SRP786666 SHT786544:SHT786666 RXX786544:RXX786666 ROB786544:ROB786666 REF786544:REF786666 QUJ786544:QUJ786666 QKN786544:QKN786666 QAR786544:QAR786666 PQV786544:PQV786666 PGZ786544:PGZ786666 OXD786544:OXD786666 ONH786544:ONH786666 ODL786544:ODL786666 NTP786544:NTP786666 NJT786544:NJT786666 MZX786544:MZX786666 MQB786544:MQB786666 MGF786544:MGF786666 LWJ786544:LWJ786666 LMN786544:LMN786666 LCR786544:LCR786666 KSV786544:KSV786666 KIZ786544:KIZ786666 JZD786544:JZD786666 JPH786544:JPH786666 JFL786544:JFL786666 IVP786544:IVP786666 ILT786544:ILT786666 IBX786544:IBX786666 HSB786544:HSB786666 HIF786544:HIF786666 GYJ786544:GYJ786666 GON786544:GON786666 GER786544:GER786666 FUV786544:FUV786666 FKZ786544:FKZ786666 FBD786544:FBD786666 ERH786544:ERH786666 EHL786544:EHL786666 DXP786544:DXP786666 DNT786544:DNT786666 DDX786544:DDX786666 CUB786544:CUB786666 CKF786544:CKF786666 CAJ786544:CAJ786666 BQN786544:BQN786666 BGR786544:BGR786666 AWV786544:AWV786666 AMZ786544:AMZ786666 ADD786544:ADD786666 TH786544:TH786666 JL786544:JL786666 I786544:J786666 WVX721008:WVX721130 WMB721008:WMB721130 WCF721008:WCF721130 VSJ721008:VSJ721130 VIN721008:VIN721130 UYR721008:UYR721130 UOV721008:UOV721130 UEZ721008:UEZ721130 TVD721008:TVD721130 TLH721008:TLH721130 TBL721008:TBL721130 SRP721008:SRP721130 SHT721008:SHT721130 RXX721008:RXX721130 ROB721008:ROB721130 REF721008:REF721130 QUJ721008:QUJ721130 QKN721008:QKN721130 QAR721008:QAR721130 PQV721008:PQV721130 PGZ721008:PGZ721130 OXD721008:OXD721130 ONH721008:ONH721130 ODL721008:ODL721130 NTP721008:NTP721130 NJT721008:NJT721130 MZX721008:MZX721130 MQB721008:MQB721130 MGF721008:MGF721130 LWJ721008:LWJ721130 LMN721008:LMN721130 LCR721008:LCR721130 KSV721008:KSV721130 KIZ721008:KIZ721130 JZD721008:JZD721130 JPH721008:JPH721130 JFL721008:JFL721130 IVP721008:IVP721130 ILT721008:ILT721130 IBX721008:IBX721130 HSB721008:HSB721130 HIF721008:HIF721130 GYJ721008:GYJ721130 GON721008:GON721130 GER721008:GER721130 FUV721008:FUV721130 FKZ721008:FKZ721130 FBD721008:FBD721130 ERH721008:ERH721130 EHL721008:EHL721130 DXP721008:DXP721130 DNT721008:DNT721130 DDX721008:DDX721130 CUB721008:CUB721130 CKF721008:CKF721130 CAJ721008:CAJ721130 BQN721008:BQN721130 BGR721008:BGR721130 AWV721008:AWV721130 AMZ721008:AMZ721130 ADD721008:ADD721130 TH721008:TH721130 JL721008:JL721130 I721008:J721130 WVX655472:WVX655594 WMB655472:WMB655594 WCF655472:WCF655594 VSJ655472:VSJ655594 VIN655472:VIN655594 UYR655472:UYR655594 UOV655472:UOV655594 UEZ655472:UEZ655594 TVD655472:TVD655594 TLH655472:TLH655594 TBL655472:TBL655594 SRP655472:SRP655594 SHT655472:SHT655594 RXX655472:RXX655594 ROB655472:ROB655594 REF655472:REF655594 QUJ655472:QUJ655594 QKN655472:QKN655594 QAR655472:QAR655594 PQV655472:PQV655594 PGZ655472:PGZ655594 OXD655472:OXD655594 ONH655472:ONH655594 ODL655472:ODL655594 NTP655472:NTP655594 NJT655472:NJT655594 MZX655472:MZX655594 MQB655472:MQB655594 MGF655472:MGF655594 LWJ655472:LWJ655594 LMN655472:LMN655594 LCR655472:LCR655594 KSV655472:KSV655594 KIZ655472:KIZ655594 JZD655472:JZD655594 JPH655472:JPH655594 JFL655472:JFL655594 IVP655472:IVP655594 ILT655472:ILT655594 IBX655472:IBX655594 HSB655472:HSB655594 HIF655472:HIF655594 GYJ655472:GYJ655594 GON655472:GON655594 GER655472:GER655594 FUV655472:FUV655594 FKZ655472:FKZ655594 FBD655472:FBD655594 ERH655472:ERH655594 EHL655472:EHL655594 DXP655472:DXP655594 DNT655472:DNT655594 DDX655472:DDX655594 CUB655472:CUB655594 CKF655472:CKF655594 CAJ655472:CAJ655594 BQN655472:BQN655594 BGR655472:BGR655594 AWV655472:AWV655594 AMZ655472:AMZ655594 ADD655472:ADD655594 TH655472:TH655594 JL655472:JL655594 I655472:J655594 WVX589936:WVX590058 WMB589936:WMB590058 WCF589936:WCF590058 VSJ589936:VSJ590058 VIN589936:VIN590058 UYR589936:UYR590058 UOV589936:UOV590058 UEZ589936:UEZ590058 TVD589936:TVD590058 TLH589936:TLH590058 TBL589936:TBL590058 SRP589936:SRP590058 SHT589936:SHT590058 RXX589936:RXX590058 ROB589936:ROB590058 REF589936:REF590058 QUJ589936:QUJ590058 QKN589936:QKN590058 QAR589936:QAR590058 PQV589936:PQV590058 PGZ589936:PGZ590058 OXD589936:OXD590058 ONH589936:ONH590058 ODL589936:ODL590058 NTP589936:NTP590058 NJT589936:NJT590058 MZX589936:MZX590058 MQB589936:MQB590058 MGF589936:MGF590058 LWJ589936:LWJ590058 LMN589936:LMN590058 LCR589936:LCR590058 KSV589936:KSV590058 KIZ589936:KIZ590058 JZD589936:JZD590058 JPH589936:JPH590058 JFL589936:JFL590058 IVP589936:IVP590058 ILT589936:ILT590058 IBX589936:IBX590058 HSB589936:HSB590058 HIF589936:HIF590058 GYJ589936:GYJ590058 GON589936:GON590058 GER589936:GER590058 FUV589936:FUV590058 FKZ589936:FKZ590058 FBD589936:FBD590058 ERH589936:ERH590058 EHL589936:EHL590058 DXP589936:DXP590058 DNT589936:DNT590058 DDX589936:DDX590058 CUB589936:CUB590058 CKF589936:CKF590058 CAJ589936:CAJ590058 BQN589936:BQN590058 BGR589936:BGR590058 AWV589936:AWV590058 AMZ589936:AMZ590058 ADD589936:ADD590058 TH589936:TH590058 JL589936:JL590058 I589936:J590058 WVX524400:WVX524522 WMB524400:WMB524522 WCF524400:WCF524522 VSJ524400:VSJ524522 VIN524400:VIN524522 UYR524400:UYR524522 UOV524400:UOV524522 UEZ524400:UEZ524522 TVD524400:TVD524522 TLH524400:TLH524522 TBL524400:TBL524522 SRP524400:SRP524522 SHT524400:SHT524522 RXX524400:RXX524522 ROB524400:ROB524522 REF524400:REF524522 QUJ524400:QUJ524522 QKN524400:QKN524522 QAR524400:QAR524522 PQV524400:PQV524522 PGZ524400:PGZ524522 OXD524400:OXD524522 ONH524400:ONH524522 ODL524400:ODL524522 NTP524400:NTP524522 NJT524400:NJT524522 MZX524400:MZX524522 MQB524400:MQB524522 MGF524400:MGF524522 LWJ524400:LWJ524522 LMN524400:LMN524522 LCR524400:LCR524522 KSV524400:KSV524522 KIZ524400:KIZ524522 JZD524400:JZD524522 JPH524400:JPH524522 JFL524400:JFL524522 IVP524400:IVP524522 ILT524400:ILT524522 IBX524400:IBX524522 HSB524400:HSB524522 HIF524400:HIF524522 GYJ524400:GYJ524522 GON524400:GON524522 GER524400:GER524522 FUV524400:FUV524522 FKZ524400:FKZ524522 FBD524400:FBD524522 ERH524400:ERH524522 EHL524400:EHL524522 DXP524400:DXP524522 DNT524400:DNT524522 DDX524400:DDX524522 CUB524400:CUB524522 CKF524400:CKF524522 CAJ524400:CAJ524522 BQN524400:BQN524522 BGR524400:BGR524522 AWV524400:AWV524522 AMZ524400:AMZ524522 ADD524400:ADD524522 TH524400:TH524522 JL524400:JL524522 I524400:J524522 WVX458864:WVX458986 WMB458864:WMB458986 WCF458864:WCF458986 VSJ458864:VSJ458986 VIN458864:VIN458986 UYR458864:UYR458986 UOV458864:UOV458986 UEZ458864:UEZ458986 TVD458864:TVD458986 TLH458864:TLH458986 TBL458864:TBL458986 SRP458864:SRP458986 SHT458864:SHT458986 RXX458864:RXX458986 ROB458864:ROB458986 REF458864:REF458986 QUJ458864:QUJ458986 QKN458864:QKN458986 QAR458864:QAR458986 PQV458864:PQV458986 PGZ458864:PGZ458986 OXD458864:OXD458986 ONH458864:ONH458986 ODL458864:ODL458986 NTP458864:NTP458986 NJT458864:NJT458986 MZX458864:MZX458986 MQB458864:MQB458986 MGF458864:MGF458986 LWJ458864:LWJ458986 LMN458864:LMN458986 LCR458864:LCR458986 KSV458864:KSV458986 KIZ458864:KIZ458986 JZD458864:JZD458986 JPH458864:JPH458986 JFL458864:JFL458986 IVP458864:IVP458986 ILT458864:ILT458986 IBX458864:IBX458986 HSB458864:HSB458986 HIF458864:HIF458986 GYJ458864:GYJ458986 GON458864:GON458986 GER458864:GER458986 FUV458864:FUV458986 FKZ458864:FKZ458986 FBD458864:FBD458986 ERH458864:ERH458986 EHL458864:EHL458986 DXP458864:DXP458986 DNT458864:DNT458986 DDX458864:DDX458986 CUB458864:CUB458986 CKF458864:CKF458986 CAJ458864:CAJ458986 BQN458864:BQN458986 BGR458864:BGR458986 AWV458864:AWV458986 AMZ458864:AMZ458986 ADD458864:ADD458986 TH458864:TH458986 JL458864:JL458986 I458864:J458986 WVX393328:WVX393450 WMB393328:WMB393450 WCF393328:WCF393450 VSJ393328:VSJ393450 VIN393328:VIN393450 UYR393328:UYR393450 UOV393328:UOV393450 UEZ393328:UEZ393450 TVD393328:TVD393450 TLH393328:TLH393450 TBL393328:TBL393450 SRP393328:SRP393450 SHT393328:SHT393450 RXX393328:RXX393450 ROB393328:ROB393450 REF393328:REF393450 QUJ393328:QUJ393450 QKN393328:QKN393450 QAR393328:QAR393450 PQV393328:PQV393450 PGZ393328:PGZ393450 OXD393328:OXD393450 ONH393328:ONH393450 ODL393328:ODL393450 NTP393328:NTP393450 NJT393328:NJT393450 MZX393328:MZX393450 MQB393328:MQB393450 MGF393328:MGF393450 LWJ393328:LWJ393450 LMN393328:LMN393450 LCR393328:LCR393450 KSV393328:KSV393450 KIZ393328:KIZ393450 JZD393328:JZD393450 JPH393328:JPH393450 JFL393328:JFL393450 IVP393328:IVP393450 ILT393328:ILT393450 IBX393328:IBX393450 HSB393328:HSB393450 HIF393328:HIF393450 GYJ393328:GYJ393450 GON393328:GON393450 GER393328:GER393450 FUV393328:FUV393450 FKZ393328:FKZ393450 FBD393328:FBD393450 ERH393328:ERH393450 EHL393328:EHL393450 DXP393328:DXP393450 DNT393328:DNT393450 DDX393328:DDX393450 CUB393328:CUB393450 CKF393328:CKF393450 CAJ393328:CAJ393450 BQN393328:BQN393450 BGR393328:BGR393450 AWV393328:AWV393450 AMZ393328:AMZ393450 ADD393328:ADD393450 TH393328:TH393450 JL393328:JL393450 I393328:J393450 WVX327792:WVX327914 WMB327792:WMB327914 WCF327792:WCF327914 VSJ327792:VSJ327914 VIN327792:VIN327914 UYR327792:UYR327914 UOV327792:UOV327914 UEZ327792:UEZ327914 TVD327792:TVD327914 TLH327792:TLH327914 TBL327792:TBL327914 SRP327792:SRP327914 SHT327792:SHT327914 RXX327792:RXX327914 ROB327792:ROB327914 REF327792:REF327914 QUJ327792:QUJ327914 QKN327792:QKN327914 QAR327792:QAR327914 PQV327792:PQV327914 PGZ327792:PGZ327914 OXD327792:OXD327914 ONH327792:ONH327914 ODL327792:ODL327914 NTP327792:NTP327914 NJT327792:NJT327914 MZX327792:MZX327914 MQB327792:MQB327914 MGF327792:MGF327914 LWJ327792:LWJ327914 LMN327792:LMN327914 LCR327792:LCR327914 KSV327792:KSV327914 KIZ327792:KIZ327914 JZD327792:JZD327914 JPH327792:JPH327914 JFL327792:JFL327914 IVP327792:IVP327914 ILT327792:ILT327914 IBX327792:IBX327914 HSB327792:HSB327914 HIF327792:HIF327914 GYJ327792:GYJ327914 GON327792:GON327914 GER327792:GER327914 FUV327792:FUV327914 FKZ327792:FKZ327914 FBD327792:FBD327914 ERH327792:ERH327914 EHL327792:EHL327914 DXP327792:DXP327914 DNT327792:DNT327914 DDX327792:DDX327914 CUB327792:CUB327914 CKF327792:CKF327914 CAJ327792:CAJ327914 BQN327792:BQN327914 BGR327792:BGR327914 AWV327792:AWV327914 AMZ327792:AMZ327914 ADD327792:ADD327914 TH327792:TH327914 JL327792:JL327914 I327792:J327914 WVX262256:WVX262378 WMB262256:WMB262378 WCF262256:WCF262378 VSJ262256:VSJ262378 VIN262256:VIN262378 UYR262256:UYR262378 UOV262256:UOV262378 UEZ262256:UEZ262378 TVD262256:TVD262378 TLH262256:TLH262378 TBL262256:TBL262378 SRP262256:SRP262378 SHT262256:SHT262378 RXX262256:RXX262378 ROB262256:ROB262378 REF262256:REF262378 QUJ262256:QUJ262378 QKN262256:QKN262378 QAR262256:QAR262378 PQV262256:PQV262378 PGZ262256:PGZ262378 OXD262256:OXD262378 ONH262256:ONH262378 ODL262256:ODL262378 NTP262256:NTP262378 NJT262256:NJT262378 MZX262256:MZX262378 MQB262256:MQB262378 MGF262256:MGF262378 LWJ262256:LWJ262378 LMN262256:LMN262378 LCR262256:LCR262378 KSV262256:KSV262378 KIZ262256:KIZ262378 JZD262256:JZD262378 JPH262256:JPH262378 JFL262256:JFL262378 IVP262256:IVP262378 ILT262256:ILT262378 IBX262256:IBX262378 HSB262256:HSB262378 HIF262256:HIF262378 GYJ262256:GYJ262378 GON262256:GON262378 GER262256:GER262378 FUV262256:FUV262378 FKZ262256:FKZ262378 FBD262256:FBD262378 ERH262256:ERH262378 EHL262256:EHL262378 DXP262256:DXP262378 DNT262256:DNT262378 DDX262256:DDX262378 CUB262256:CUB262378 CKF262256:CKF262378 CAJ262256:CAJ262378 BQN262256:BQN262378 BGR262256:BGR262378 AWV262256:AWV262378 AMZ262256:AMZ262378 ADD262256:ADD262378 TH262256:TH262378 JL262256:JL262378 I262256:J262378 WVX196720:WVX196842 WMB196720:WMB196842 WCF196720:WCF196842 VSJ196720:VSJ196842 VIN196720:VIN196842 UYR196720:UYR196842 UOV196720:UOV196842 UEZ196720:UEZ196842 TVD196720:TVD196842 TLH196720:TLH196842 TBL196720:TBL196842 SRP196720:SRP196842 SHT196720:SHT196842 RXX196720:RXX196842 ROB196720:ROB196842 REF196720:REF196842 QUJ196720:QUJ196842 QKN196720:QKN196842 QAR196720:QAR196842 PQV196720:PQV196842 PGZ196720:PGZ196842 OXD196720:OXD196842 ONH196720:ONH196842 ODL196720:ODL196842 NTP196720:NTP196842 NJT196720:NJT196842 MZX196720:MZX196842 MQB196720:MQB196842 MGF196720:MGF196842 LWJ196720:LWJ196842 LMN196720:LMN196842 LCR196720:LCR196842 KSV196720:KSV196842 KIZ196720:KIZ196842 JZD196720:JZD196842 JPH196720:JPH196842 JFL196720:JFL196842 IVP196720:IVP196842 ILT196720:ILT196842 IBX196720:IBX196842 HSB196720:HSB196842 HIF196720:HIF196842 GYJ196720:GYJ196842 GON196720:GON196842 GER196720:GER196842 FUV196720:FUV196842 FKZ196720:FKZ196842 FBD196720:FBD196842 ERH196720:ERH196842 EHL196720:EHL196842 DXP196720:DXP196842 DNT196720:DNT196842 DDX196720:DDX196842 CUB196720:CUB196842 CKF196720:CKF196842 CAJ196720:CAJ196842 BQN196720:BQN196842 BGR196720:BGR196842 AWV196720:AWV196842 AMZ196720:AMZ196842 ADD196720:ADD196842 TH196720:TH196842 JL196720:JL196842 I196720:J196842 WVX131184:WVX131306 WMB131184:WMB131306 WCF131184:WCF131306 VSJ131184:VSJ131306 VIN131184:VIN131306 UYR131184:UYR131306 UOV131184:UOV131306 UEZ131184:UEZ131306 TVD131184:TVD131306 TLH131184:TLH131306 TBL131184:TBL131306 SRP131184:SRP131306 SHT131184:SHT131306 RXX131184:RXX131306 ROB131184:ROB131306 REF131184:REF131306 QUJ131184:QUJ131306 QKN131184:QKN131306 QAR131184:QAR131306 PQV131184:PQV131306 PGZ131184:PGZ131306 OXD131184:OXD131306 ONH131184:ONH131306 ODL131184:ODL131306 NTP131184:NTP131306 NJT131184:NJT131306 MZX131184:MZX131306 MQB131184:MQB131306 MGF131184:MGF131306 LWJ131184:LWJ131306 LMN131184:LMN131306 LCR131184:LCR131306 KSV131184:KSV131306 KIZ131184:KIZ131306 JZD131184:JZD131306 JPH131184:JPH131306 JFL131184:JFL131306 IVP131184:IVP131306 ILT131184:ILT131306 IBX131184:IBX131306 HSB131184:HSB131306 HIF131184:HIF131306 GYJ131184:GYJ131306 GON131184:GON131306 GER131184:GER131306 FUV131184:FUV131306 FKZ131184:FKZ131306 FBD131184:FBD131306 ERH131184:ERH131306 EHL131184:EHL131306 DXP131184:DXP131306 DNT131184:DNT131306 DDX131184:DDX131306 CUB131184:CUB131306 CKF131184:CKF131306 CAJ131184:CAJ131306 BQN131184:BQN131306 BGR131184:BGR131306 AWV131184:AWV131306 AMZ131184:AMZ131306 ADD131184:ADD131306 TH131184:TH131306 JL131184:JL131306 I131184:J131306 WVX65648:WVX65770 WMB65648:WMB65770 WCF65648:WCF65770 VSJ65648:VSJ65770 VIN65648:VIN65770 UYR65648:UYR65770 UOV65648:UOV65770 UEZ65648:UEZ65770 TVD65648:TVD65770 TLH65648:TLH65770 TBL65648:TBL65770 SRP65648:SRP65770 SHT65648:SHT65770 RXX65648:RXX65770 ROB65648:ROB65770 REF65648:REF65770 QUJ65648:QUJ65770 QKN65648:QKN65770 QAR65648:QAR65770 PQV65648:PQV65770 PGZ65648:PGZ65770 OXD65648:OXD65770 ONH65648:ONH65770 ODL65648:ODL65770 NTP65648:NTP65770 NJT65648:NJT65770 MZX65648:MZX65770 MQB65648:MQB65770 MGF65648:MGF65770 LWJ65648:LWJ65770 LMN65648:LMN65770 LCR65648:LCR65770 KSV65648:KSV65770 KIZ65648:KIZ65770 JZD65648:JZD65770 JPH65648:JPH65770 JFL65648:JFL65770 IVP65648:IVP65770 ILT65648:ILT65770 IBX65648:IBX65770 HSB65648:HSB65770 HIF65648:HIF65770 GYJ65648:GYJ65770 GON65648:GON65770 GER65648:GER65770 FUV65648:FUV65770 FKZ65648:FKZ65770 FBD65648:FBD65770 ERH65648:ERH65770 EHL65648:EHL65770 DXP65648:DXP65770 DNT65648:DNT65770 DDX65648:DDX65770 CUB65648:CUB65770 CKF65648:CKF65770 CAJ65648:CAJ65770 BQN65648:BQN65770 BGR65648:BGR65770 AWV65648:AWV65770 AMZ65648:AMZ65770 ADD65648:ADD65770 TH65648:TH65770 JL65648:JL65770 I299:J299 J12:J15 J111:J112 J174:J175 J137:J138 TH12:TH299 ADD12:ADD299 AMZ12:AMZ299 AWV12:AWV299 BGR12:BGR299 BQN12:BQN299 CAJ12:CAJ299 CKF12:CKF299 CUB12:CUB299 DDX12:DDX299 DNT12:DNT299 DXP12:DXP299 EHL12:EHL299 ERH12:ERH299 FBD12:FBD299 FKZ12:FKZ299 FUV12:FUV299 GER12:GER299 GON12:GON299 GYJ12:GYJ299 HIF12:HIF299 HSB12:HSB299 IBX12:IBX299 ILT12:ILT299 IVP12:IVP299 JFL12:JFL299 JPH12:JPH299 JZD12:JZD299 KIZ12:KIZ299 KSV12:KSV299 LCR12:LCR299 LMN12:LMN299 LWJ12:LWJ299 MGF12:MGF299 MQB12:MQB299 MZX12:MZX299 NJT12:NJT299 NTP12:NTP299 ODL12:ODL299 ONH12:ONH299 OXD12:OXD299 PGZ12:PGZ299 PQV12:PQV299 QAR12:QAR299 QKN12:QKN299 QUJ12:QUJ299 REF12:REF299 ROB12:ROB299 RXX12:RXX299 SHT12:SHT299 SRP12:SRP299 TBL12:TBL299 TLH12:TLH299 TVD12:TVD299 UEZ12:UEZ299 UOV12:UOV299 UYR12:UYR299 VIN12:VIN299 VSJ12:VSJ299 WCF12:WCF299 WMB12:WMB299 WVX12:WVX299 JL12:JL299">
      <formula1>$E$349:$E$355</formula1>
    </dataValidation>
    <dataValidation type="list" allowBlank="1" showInputMessage="1" showErrorMessage="1" sqref="L16:L110 L113:L136 L139:L173 L176:L221 L224:L298">
      <formula1>$A$16:$A$20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W118"/>
  <sheetViews>
    <sheetView showGridLines="0" showZeros="0" view="pageBreakPreview" zoomScale="85" zoomScaleNormal="100" zoomScaleSheetLayoutView="85" workbookViewId="0">
      <pane xSplit="10" ySplit="12" topLeftCell="K13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10" style="70" customWidth="1"/>
    <col min="17" max="17" width="4.88671875" style="70" customWidth="1"/>
    <col min="18" max="18" width="9.44140625" style="80" customWidth="1"/>
    <col min="19" max="19" width="12.33203125" style="80" customWidth="1"/>
    <col min="20" max="20" width="9.44140625" style="80" customWidth="1"/>
    <col min="21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1" width="8.5546875" style="67" customWidth="1"/>
    <col min="62" max="62" width="1.109375" style="67" customWidth="1"/>
    <col min="63" max="63" width="1.6640625" style="67" customWidth="1"/>
    <col min="64" max="64" width="9.109375" style="67" customWidth="1"/>
    <col min="65" max="66" width="9.109375" style="70" customWidth="1"/>
    <col min="67" max="67" width="9.109375" style="67" customWidth="1"/>
    <col min="68" max="71" width="9.109375" style="67"/>
    <col min="72" max="72" width="5.5546875" style="67" customWidth="1"/>
    <col min="73" max="73" width="9.109375" style="67" customWidth="1"/>
    <col min="74" max="74" width="5.5546875" style="67" customWidth="1"/>
    <col min="75" max="75" width="4.6640625" style="67" customWidth="1"/>
    <col min="76" max="16384" width="9.109375" style="67"/>
  </cols>
  <sheetData>
    <row r="2" spans="1:73" ht="7.5" customHeight="1"/>
    <row r="3" spans="1:73" ht="29.25" customHeight="1" thickBot="1">
      <c r="C3" s="730" t="s">
        <v>271</v>
      </c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0"/>
      <c r="V3" s="730"/>
      <c r="W3" s="730"/>
      <c r="X3" s="730"/>
      <c r="Y3" s="730"/>
      <c r="Z3" s="730"/>
      <c r="AA3" s="730"/>
      <c r="AB3" s="730"/>
      <c r="AC3" s="730"/>
      <c r="AD3" s="730"/>
      <c r="AE3" s="730"/>
      <c r="AF3" s="730"/>
      <c r="AG3" s="730"/>
      <c r="AH3" s="730"/>
      <c r="AI3" s="730"/>
      <c r="AJ3" s="730"/>
      <c r="AK3" s="730"/>
      <c r="AL3" s="730"/>
      <c r="AM3" s="730"/>
      <c r="AN3" s="730"/>
      <c r="AO3" s="730"/>
      <c r="AP3" s="730"/>
      <c r="AQ3" s="730"/>
      <c r="AR3" s="730"/>
      <c r="AS3" s="730"/>
      <c r="AT3" s="730"/>
      <c r="AU3" s="730"/>
      <c r="AV3" s="730"/>
      <c r="AW3" s="730"/>
      <c r="AX3" s="730"/>
      <c r="AY3" s="730"/>
      <c r="AZ3" s="730"/>
      <c r="BA3" s="730"/>
      <c r="BB3" s="730"/>
      <c r="BC3" s="730"/>
      <c r="BD3" s="730"/>
      <c r="BE3" s="730"/>
      <c r="BF3" s="730"/>
      <c r="BG3" s="730"/>
      <c r="BH3" s="730"/>
      <c r="BI3" s="730"/>
      <c r="BJ3" s="730"/>
      <c r="BK3" s="730"/>
    </row>
    <row r="4" spans="1:73" ht="23.25" customHeight="1">
      <c r="C4" s="64" t="str">
        <f>+'RESUMEN GENERAL BASE'!C4</f>
        <v>Obra</v>
      </c>
      <c r="E4" s="6"/>
      <c r="F4" s="56" t="s">
        <v>322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165"/>
      <c r="S4" s="165"/>
      <c r="T4" s="166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50"/>
      <c r="BK4" s="7"/>
    </row>
    <row r="5" spans="1:73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167"/>
      <c r="K5" s="167"/>
      <c r="L5" s="167"/>
      <c r="M5" s="167"/>
      <c r="N5" s="167"/>
      <c r="O5" s="167"/>
      <c r="P5" s="167"/>
      <c r="Q5" s="62"/>
      <c r="R5" s="167"/>
      <c r="S5" s="167"/>
      <c r="T5" s="167"/>
      <c r="U5" s="62"/>
      <c r="V5" s="167"/>
      <c r="W5" s="167"/>
      <c r="X5" s="167"/>
      <c r="Y5" s="167"/>
      <c r="Z5" s="167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51"/>
      <c r="BK5" s="9"/>
    </row>
    <row r="6" spans="1:73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167"/>
      <c r="K6" s="167"/>
      <c r="L6" s="167"/>
      <c r="M6" s="167"/>
      <c r="N6" s="167"/>
      <c r="O6" s="167"/>
      <c r="P6" s="167"/>
      <c r="Q6" s="62"/>
      <c r="R6" s="167"/>
      <c r="S6" s="167"/>
      <c r="T6" s="167"/>
      <c r="U6" s="62"/>
      <c r="V6" s="167"/>
      <c r="W6" s="167"/>
      <c r="X6" s="167"/>
      <c r="Y6" s="167"/>
      <c r="Z6" s="167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51"/>
      <c r="BK6" s="9"/>
    </row>
    <row r="7" spans="1:73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167"/>
      <c r="K7" s="167"/>
      <c r="L7" s="167"/>
      <c r="M7" s="167"/>
      <c r="N7" s="167"/>
      <c r="O7" s="167"/>
      <c r="P7" s="167"/>
      <c r="Q7" s="62"/>
      <c r="R7" s="167"/>
      <c r="S7" s="167"/>
      <c r="T7" s="167"/>
      <c r="U7" s="62"/>
      <c r="V7" s="167"/>
      <c r="W7" s="167"/>
      <c r="X7" s="167"/>
      <c r="Y7" s="167"/>
      <c r="Z7" s="167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51"/>
      <c r="BK7" s="9"/>
    </row>
    <row r="8" spans="1:73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63"/>
      <c r="L8" s="63"/>
      <c r="M8" s="63"/>
      <c r="N8" s="63"/>
      <c r="O8" s="63"/>
      <c r="P8" s="63"/>
      <c r="Q8" s="63"/>
      <c r="R8" s="168"/>
      <c r="S8" s="168"/>
      <c r="T8" s="168"/>
      <c r="U8" s="63"/>
      <c r="V8" s="168"/>
      <c r="W8" s="168"/>
      <c r="X8" s="168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52"/>
      <c r="BK8" s="11"/>
    </row>
    <row r="9" spans="1:73" ht="6.75" customHeight="1" thickBot="1">
      <c r="C9" s="73"/>
      <c r="D9" s="73"/>
      <c r="E9" s="73"/>
      <c r="F9" s="71"/>
      <c r="G9" s="71"/>
      <c r="H9" s="71"/>
      <c r="I9" s="176"/>
      <c r="J9" s="71"/>
      <c r="K9" s="71"/>
      <c r="L9" s="74"/>
      <c r="M9" s="72"/>
      <c r="N9" s="71"/>
      <c r="O9" s="71"/>
      <c r="P9" s="71"/>
      <c r="Q9" s="71"/>
      <c r="R9" s="169"/>
      <c r="S9" s="75"/>
      <c r="T9" s="75"/>
      <c r="U9" s="278"/>
      <c r="V9" s="75"/>
      <c r="W9" s="71"/>
      <c r="X9" s="71"/>
      <c r="Y9" s="174"/>
      <c r="Z9" s="174"/>
      <c r="AA9" s="174"/>
      <c r="AB9" s="174"/>
      <c r="AC9" s="174"/>
      <c r="AD9" s="174"/>
      <c r="AE9" s="174"/>
      <c r="AF9" s="174"/>
      <c r="AG9" s="174"/>
    </row>
    <row r="10" spans="1:73" s="81" customFormat="1" ht="12.75" customHeight="1">
      <c r="C10" s="731" t="s">
        <v>145</v>
      </c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2"/>
      <c r="O10" s="732"/>
      <c r="P10" s="732"/>
      <c r="Q10" s="732"/>
      <c r="R10" s="732"/>
      <c r="S10" s="732"/>
      <c r="T10" s="732"/>
      <c r="U10" s="732"/>
      <c r="V10" s="732"/>
      <c r="W10" s="732"/>
      <c r="X10" s="733"/>
      <c r="Y10" s="734" t="s">
        <v>138</v>
      </c>
      <c r="Z10" s="735"/>
      <c r="AA10" s="735"/>
      <c r="AB10" s="735"/>
      <c r="AC10" s="735"/>
      <c r="AD10" s="735"/>
      <c r="AE10" s="735"/>
      <c r="AF10" s="735"/>
      <c r="AG10" s="735"/>
      <c r="AH10" s="736"/>
      <c r="AI10" s="737" t="s">
        <v>180</v>
      </c>
      <c r="AJ10" s="738"/>
      <c r="AK10" s="738"/>
      <c r="AL10" s="738"/>
      <c r="AM10" s="738"/>
      <c r="AN10" s="738"/>
      <c r="AO10" s="738"/>
      <c r="AP10" s="738"/>
      <c r="AQ10" s="738"/>
      <c r="AR10" s="739"/>
      <c r="AS10" s="740" t="s">
        <v>181</v>
      </c>
      <c r="AT10" s="741"/>
      <c r="AU10" s="741"/>
      <c r="AV10" s="741"/>
      <c r="AW10" s="741"/>
      <c r="AX10" s="741"/>
      <c r="AY10" s="741"/>
      <c r="AZ10" s="741"/>
      <c r="BA10" s="741"/>
      <c r="BB10" s="742"/>
      <c r="BC10" s="205" t="s">
        <v>182</v>
      </c>
      <c r="BD10" s="257" t="s">
        <v>199</v>
      </c>
      <c r="BE10" s="243" t="s">
        <v>202</v>
      </c>
      <c r="BF10" s="743" t="s">
        <v>1</v>
      </c>
      <c r="BG10" s="743"/>
      <c r="BH10" s="743"/>
      <c r="BI10" s="743"/>
      <c r="BJ10" s="258"/>
      <c r="BK10" s="82"/>
      <c r="BM10" s="750" t="s">
        <v>136</v>
      </c>
      <c r="BN10" s="750" t="s">
        <v>137</v>
      </c>
    </row>
    <row r="11" spans="1:73" s="81" customFormat="1" ht="15" customHeight="1">
      <c r="C11" s="201" t="s">
        <v>143</v>
      </c>
      <c r="D11" s="753" t="s">
        <v>139</v>
      </c>
      <c r="E11" s="754"/>
      <c r="F11" s="754" t="s">
        <v>144</v>
      </c>
      <c r="G11" s="754"/>
      <c r="H11" s="755"/>
      <c r="I11" s="753" t="s">
        <v>135</v>
      </c>
      <c r="J11" s="755"/>
      <c r="K11" s="87" t="s">
        <v>140</v>
      </c>
      <c r="L11" s="88" t="s">
        <v>140</v>
      </c>
      <c r="M11" s="89" t="s">
        <v>141</v>
      </c>
      <c r="N11" s="254" t="s">
        <v>134</v>
      </c>
      <c r="O11" s="255" t="s">
        <v>134</v>
      </c>
      <c r="P11" s="235" t="s">
        <v>206</v>
      </c>
      <c r="Q11" s="235" t="s">
        <v>207</v>
      </c>
      <c r="R11" s="756" t="s">
        <v>178</v>
      </c>
      <c r="S11" s="757"/>
      <c r="T11" s="756" t="s">
        <v>179</v>
      </c>
      <c r="U11" s="757"/>
      <c r="V11" s="93" t="s">
        <v>142</v>
      </c>
      <c r="W11" s="94" t="s">
        <v>142</v>
      </c>
      <c r="X11" s="95" t="s">
        <v>142</v>
      </c>
      <c r="Y11" s="213">
        <v>0.61</v>
      </c>
      <c r="Z11" s="214">
        <v>1.01</v>
      </c>
      <c r="AA11" s="214">
        <v>1.26</v>
      </c>
      <c r="AB11" s="214">
        <v>1.51</v>
      </c>
      <c r="AC11" s="214">
        <f t="shared" ref="AC11:AG11" si="0">+AB12+0.01</f>
        <v>1.76</v>
      </c>
      <c r="AD11" s="214">
        <f t="shared" si="0"/>
        <v>2.0099999999999998</v>
      </c>
      <c r="AE11" s="214">
        <f t="shared" si="0"/>
        <v>2.5099999999999998</v>
      </c>
      <c r="AF11" s="214">
        <f t="shared" si="0"/>
        <v>3.01</v>
      </c>
      <c r="AG11" s="214">
        <f t="shared" si="0"/>
        <v>3.51</v>
      </c>
      <c r="AH11" s="215">
        <f>+AG12+0.01</f>
        <v>4.01</v>
      </c>
      <c r="AI11" s="206">
        <v>0.61</v>
      </c>
      <c r="AJ11" s="207">
        <v>1.01</v>
      </c>
      <c r="AK11" s="207">
        <v>1.26</v>
      </c>
      <c r="AL11" s="207">
        <v>1.51</v>
      </c>
      <c r="AM11" s="207">
        <f t="shared" ref="AM11:AQ11" si="1">+AL12+0.01</f>
        <v>1.76</v>
      </c>
      <c r="AN11" s="207">
        <f t="shared" si="1"/>
        <v>2.0099999999999998</v>
      </c>
      <c r="AO11" s="207">
        <f t="shared" si="1"/>
        <v>2.5099999999999998</v>
      </c>
      <c r="AP11" s="207">
        <f t="shared" si="1"/>
        <v>3.01</v>
      </c>
      <c r="AQ11" s="207">
        <f t="shared" si="1"/>
        <v>3.51</v>
      </c>
      <c r="AR11" s="208">
        <f>+AQ12+0.01</f>
        <v>4.01</v>
      </c>
      <c r="AS11" s="199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4" t="s">
        <v>183</v>
      </c>
      <c r="BD11" s="230" t="s">
        <v>200</v>
      </c>
      <c r="BE11" s="244" t="s">
        <v>203</v>
      </c>
      <c r="BF11" s="265"/>
      <c r="BG11" s="269"/>
      <c r="BH11" s="300"/>
      <c r="BI11" s="300"/>
      <c r="BJ11" s="256"/>
      <c r="BK11" s="82"/>
      <c r="BM11" s="751"/>
      <c r="BN11" s="751"/>
    </row>
    <row r="12" spans="1:73" s="81" customFormat="1" ht="15.75" customHeight="1" thickBot="1">
      <c r="C12" s="202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7" t="s">
        <v>148</v>
      </c>
      <c r="J12" s="86" t="s">
        <v>149</v>
      </c>
      <c r="K12" s="90" t="s">
        <v>146</v>
      </c>
      <c r="L12" s="91" t="s">
        <v>147</v>
      </c>
      <c r="M12" s="92" t="s">
        <v>215</v>
      </c>
      <c r="N12" s="84" t="s">
        <v>223</v>
      </c>
      <c r="O12" s="86" t="s">
        <v>152</v>
      </c>
      <c r="P12" s="236" t="s">
        <v>213</v>
      </c>
      <c r="Q12" s="236" t="s">
        <v>214</v>
      </c>
      <c r="R12" s="170" t="s">
        <v>153</v>
      </c>
      <c r="S12" s="171" t="s">
        <v>154</v>
      </c>
      <c r="T12" s="170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6">
        <v>1</v>
      </c>
      <c r="Z12" s="217">
        <v>1.25</v>
      </c>
      <c r="AA12" s="217">
        <v>1.5</v>
      </c>
      <c r="AB12" s="217">
        <v>1.75</v>
      </c>
      <c r="AC12" s="218">
        <v>2</v>
      </c>
      <c r="AD12" s="218">
        <v>2.5</v>
      </c>
      <c r="AE12" s="218">
        <v>3</v>
      </c>
      <c r="AF12" s="218">
        <v>3.5</v>
      </c>
      <c r="AG12" s="218">
        <v>4</v>
      </c>
      <c r="AH12" s="219">
        <v>4.5</v>
      </c>
      <c r="AI12" s="209">
        <v>1</v>
      </c>
      <c r="AJ12" s="210">
        <v>1.25</v>
      </c>
      <c r="AK12" s="210">
        <v>1.5</v>
      </c>
      <c r="AL12" s="210">
        <v>1.75</v>
      </c>
      <c r="AM12" s="211">
        <v>2</v>
      </c>
      <c r="AN12" s="211">
        <v>2.5</v>
      </c>
      <c r="AO12" s="211">
        <v>3</v>
      </c>
      <c r="AP12" s="211">
        <v>3.5</v>
      </c>
      <c r="AQ12" s="211">
        <v>4</v>
      </c>
      <c r="AR12" s="212">
        <v>4.5</v>
      </c>
      <c r="AS12" s="200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184</v>
      </c>
      <c r="BD12" s="231" t="s">
        <v>201</v>
      </c>
      <c r="BE12" s="245" t="s">
        <v>204</v>
      </c>
      <c r="BF12" s="242" t="s">
        <v>218</v>
      </c>
      <c r="BG12" s="242" t="s">
        <v>262</v>
      </c>
      <c r="BH12" s="242" t="s">
        <v>224</v>
      </c>
      <c r="BI12" s="242" t="s">
        <v>219</v>
      </c>
      <c r="BJ12" s="148"/>
      <c r="BK12" s="83"/>
      <c r="BM12" s="752"/>
      <c r="BN12" s="752"/>
    </row>
    <row r="13" spans="1:73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7"/>
      <c r="Q13" s="237"/>
      <c r="R13" s="107"/>
      <c r="S13" s="106"/>
      <c r="T13" s="107"/>
      <c r="U13" s="279"/>
      <c r="V13" s="108"/>
      <c r="W13" s="109"/>
      <c r="X13" s="188"/>
      <c r="Y13" s="193"/>
      <c r="Z13" s="100"/>
      <c r="AA13" s="100"/>
      <c r="AB13" s="100"/>
      <c r="AC13" s="110"/>
      <c r="AD13" s="110"/>
      <c r="AE13" s="110"/>
      <c r="AF13" s="110"/>
      <c r="AG13" s="110"/>
      <c r="AH13" s="111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2"/>
      <c r="BE13" s="232"/>
      <c r="BF13" s="232"/>
      <c r="BG13" s="232"/>
      <c r="BH13" s="232"/>
      <c r="BI13" s="232"/>
      <c r="BJ13" s="111"/>
      <c r="BK13" s="83"/>
      <c r="BM13" s="112"/>
      <c r="BN13" s="112"/>
    </row>
    <row r="14" spans="1:73" s="124" customFormat="1" ht="16.5" customHeight="1">
      <c r="A14" s="124" t="str">
        <f>+IF(SUM(Y14:BB14)&gt;0,"OK","NO")</f>
        <v>NO</v>
      </c>
      <c r="C14" s="747" t="s">
        <v>198</v>
      </c>
      <c r="D14" s="113"/>
      <c r="E14" s="114"/>
      <c r="F14" s="114">
        <v>350</v>
      </c>
      <c r="G14" s="114" t="s">
        <v>196</v>
      </c>
      <c r="H14" s="115" t="s">
        <v>197</v>
      </c>
      <c r="I14" s="268">
        <v>9.9999999999999995E-8</v>
      </c>
      <c r="J14" s="116">
        <v>0.4</v>
      </c>
      <c r="K14" s="117">
        <f>+J14-I14</f>
        <v>0.39999990000000002</v>
      </c>
      <c r="L14" s="118">
        <f>+ROUND(K14*SQRT((M14/100)^2+1),2)</f>
        <v>0.4</v>
      </c>
      <c r="M14" s="116">
        <v>0</v>
      </c>
      <c r="N14" s="113" t="s">
        <v>219</v>
      </c>
      <c r="O14" s="115" t="s">
        <v>3</v>
      </c>
      <c r="P14" s="238">
        <f t="shared" ref="P14:P45" si="3">+IF(O14="N",IF(X14&gt;1.75,"E",0),0)</f>
        <v>0</v>
      </c>
      <c r="Q14" s="238"/>
      <c r="R14" s="119">
        <v>295.01</v>
      </c>
      <c r="S14" s="120">
        <v>295.02</v>
      </c>
      <c r="T14" s="119">
        <v>295.13</v>
      </c>
      <c r="U14" s="264">
        <f t="shared" ref="U14:U53" si="4">+T14+K14*M14/100</f>
        <v>295.13</v>
      </c>
      <c r="V14" s="117">
        <f>IF((R14-T14)&lt;0,0,R14-T14)</f>
        <v>0</v>
      </c>
      <c r="W14" s="118">
        <f>IF((S14-U14)&lt;0,0,S14-U14)</f>
        <v>0</v>
      </c>
      <c r="X14" s="189">
        <f t="shared" ref="X14:X45" si="5">ROUND(AVERAGE(V14:W14),2)</f>
        <v>0</v>
      </c>
      <c r="Y14" s="145">
        <f t="shared" ref="Y14:AH36" si="6">+IF($O14="N",IF($X14&gt;=Y$11,IF($X14&lt;=Y$12,$L14,0),0),0)</f>
        <v>0</v>
      </c>
      <c r="Z14" s="121">
        <f t="shared" si="6"/>
        <v>0</v>
      </c>
      <c r="AA14" s="121">
        <f t="shared" si="6"/>
        <v>0</v>
      </c>
      <c r="AB14" s="121">
        <f t="shared" si="6"/>
        <v>0</v>
      </c>
      <c r="AC14" s="121">
        <f t="shared" si="6"/>
        <v>0</v>
      </c>
      <c r="AD14" s="121">
        <f t="shared" si="6"/>
        <v>0</v>
      </c>
      <c r="AE14" s="121">
        <f t="shared" si="6"/>
        <v>0</v>
      </c>
      <c r="AF14" s="121">
        <f t="shared" si="6"/>
        <v>0</v>
      </c>
      <c r="AG14" s="121">
        <f t="shared" si="6"/>
        <v>0</v>
      </c>
      <c r="AH14" s="122">
        <f t="shared" si="6"/>
        <v>0</v>
      </c>
      <c r="AI14" s="145">
        <f t="shared" ref="AI14:AR36" si="7">+IF($O14="SR",IF($X14&gt;=AI$11,IF($X14&lt;=AI$12,$L14,0),0),0)</f>
        <v>0</v>
      </c>
      <c r="AJ14" s="121">
        <f t="shared" si="7"/>
        <v>0</v>
      </c>
      <c r="AK14" s="121">
        <f t="shared" si="7"/>
        <v>0</v>
      </c>
      <c r="AL14" s="121">
        <f t="shared" si="7"/>
        <v>0</v>
      </c>
      <c r="AM14" s="121">
        <f t="shared" si="7"/>
        <v>0</v>
      </c>
      <c r="AN14" s="121">
        <f t="shared" si="7"/>
        <v>0</v>
      </c>
      <c r="AO14" s="121">
        <f t="shared" si="7"/>
        <v>0</v>
      </c>
      <c r="AP14" s="121">
        <f t="shared" si="7"/>
        <v>0</v>
      </c>
      <c r="AQ14" s="121">
        <f t="shared" si="7"/>
        <v>0</v>
      </c>
      <c r="AR14" s="122">
        <f t="shared" si="7"/>
        <v>0</v>
      </c>
      <c r="AS14" s="145">
        <f t="shared" ref="AS14:BB36" si="8">+IF($O14="R",IF($X14&gt;=AS$11,IF($X14&lt;=AS$12,$L14,0),0),0)</f>
        <v>0</v>
      </c>
      <c r="AT14" s="121">
        <f t="shared" si="8"/>
        <v>0</v>
      </c>
      <c r="AU14" s="121">
        <f t="shared" si="8"/>
        <v>0</v>
      </c>
      <c r="AV14" s="121">
        <f t="shared" si="8"/>
        <v>0</v>
      </c>
      <c r="AW14" s="121">
        <f t="shared" si="8"/>
        <v>0</v>
      </c>
      <c r="AX14" s="121">
        <f t="shared" si="8"/>
        <v>0</v>
      </c>
      <c r="AY14" s="121">
        <f t="shared" si="8"/>
        <v>0</v>
      </c>
      <c r="AZ14" s="121">
        <f t="shared" si="8"/>
        <v>0</v>
      </c>
      <c r="BA14" s="121">
        <f t="shared" si="8"/>
        <v>0</v>
      </c>
      <c r="BB14" s="122">
        <f t="shared" si="8"/>
        <v>0</v>
      </c>
      <c r="BC14" s="145">
        <f>+L14</f>
        <v>0.4</v>
      </c>
      <c r="BD14" s="192">
        <f>+IF(P14="E",L14,0)</f>
        <v>0</v>
      </c>
      <c r="BE14" s="192">
        <f>+IF(Q14="A",L14,0)</f>
        <v>0</v>
      </c>
      <c r="BF14" s="192">
        <f t="shared" ref="BF14:BF53" si="9">+IF($N14=BF$12,$L14*(MAX($F14/1000+0.6,0.8)),0)</f>
        <v>0</v>
      </c>
      <c r="BG14" s="192">
        <f>+IF($N14=BG$12,$L14,0)</f>
        <v>0</v>
      </c>
      <c r="BH14" s="192">
        <f>+IF($N14=BH$12,$L14*($F14/1000+1.7),0)</f>
        <v>0</v>
      </c>
      <c r="BI14" s="192">
        <f>+IF($N14=BI$12,$L14*($F14/1000+1.7),0)</f>
        <v>0.82</v>
      </c>
      <c r="BJ14" s="122"/>
      <c r="BK14" s="123"/>
      <c r="BM14" s="125">
        <f t="shared" ref="BM14:BM54" si="10">+IF(N14="AF",L14,0)</f>
        <v>0</v>
      </c>
      <c r="BN14" s="125"/>
      <c r="BU14" s="124" t="s">
        <v>209</v>
      </c>
    </row>
    <row r="15" spans="1:73" s="81" customFormat="1" ht="16.5" customHeight="1">
      <c r="A15" s="124" t="str">
        <f t="shared" ref="A15:A53" si="11">+IF(SUM(Y15:BB15)&gt;0,"OK","NO")</f>
        <v>OK</v>
      </c>
      <c r="C15" s="748"/>
      <c r="D15" s="113"/>
      <c r="E15" s="114"/>
      <c r="F15" s="114">
        <f t="shared" ref="F15:H37" si="12">+F14</f>
        <v>350</v>
      </c>
      <c r="G15" s="263" t="str">
        <f t="shared" si="12"/>
        <v>HD</v>
      </c>
      <c r="H15" s="115" t="str">
        <f t="shared" si="12"/>
        <v>K-9</v>
      </c>
      <c r="I15" s="117">
        <f t="shared" ref="I15:I45" si="13">J14</f>
        <v>0.4</v>
      </c>
      <c r="J15" s="116">
        <v>2.7</v>
      </c>
      <c r="K15" s="117">
        <f t="shared" ref="K15:K53" si="14">+J15-I15</f>
        <v>2.3000000000000003</v>
      </c>
      <c r="L15" s="118">
        <f t="shared" ref="L15:L45" si="15">+ROUND(K15*SQRT((M15/100)^2+1),2)</f>
        <v>3.21</v>
      </c>
      <c r="M15" s="116">
        <v>-97.46</v>
      </c>
      <c r="N15" s="113" t="str">
        <f>+N14</f>
        <v>G</v>
      </c>
      <c r="O15" s="115" t="str">
        <f>+O14</f>
        <v>N</v>
      </c>
      <c r="P15" s="238">
        <f t="shared" si="3"/>
        <v>0</v>
      </c>
      <c r="Q15" s="238"/>
      <c r="R15" s="126">
        <f t="shared" ref="R15:R45" si="16">S14</f>
        <v>295.02</v>
      </c>
      <c r="S15" s="120">
        <v>295.04000000000002</v>
      </c>
      <c r="T15" s="126">
        <f t="shared" ref="T15:T45" si="17">U14</f>
        <v>295.13</v>
      </c>
      <c r="U15" s="264">
        <v>292.83</v>
      </c>
      <c r="V15" s="117">
        <f t="shared" ref="V15:V30" si="18">IF((R15-T15)&lt;0,0,R15-T15)</f>
        <v>0</v>
      </c>
      <c r="W15" s="118">
        <f t="shared" ref="W15:W30" si="19">IF((S15-U15)&lt;0,0,S15-U15)</f>
        <v>2.2100000000000364</v>
      </c>
      <c r="X15" s="189">
        <f t="shared" si="5"/>
        <v>1.1100000000000001</v>
      </c>
      <c r="Y15" s="145">
        <f t="shared" si="6"/>
        <v>0</v>
      </c>
      <c r="Z15" s="121">
        <f t="shared" si="6"/>
        <v>3.21</v>
      </c>
      <c r="AA15" s="121">
        <f t="shared" si="6"/>
        <v>0</v>
      </c>
      <c r="AB15" s="121">
        <f t="shared" si="6"/>
        <v>0</v>
      </c>
      <c r="AC15" s="121">
        <f t="shared" si="6"/>
        <v>0</v>
      </c>
      <c r="AD15" s="121">
        <f t="shared" si="6"/>
        <v>0</v>
      </c>
      <c r="AE15" s="121">
        <f t="shared" si="6"/>
        <v>0</v>
      </c>
      <c r="AF15" s="121">
        <f t="shared" si="6"/>
        <v>0</v>
      </c>
      <c r="AG15" s="121">
        <f t="shared" si="6"/>
        <v>0</v>
      </c>
      <c r="AH15" s="122">
        <f t="shared" si="6"/>
        <v>0</v>
      </c>
      <c r="AI15" s="145">
        <f t="shared" si="7"/>
        <v>0</v>
      </c>
      <c r="AJ15" s="121">
        <f t="shared" si="7"/>
        <v>0</v>
      </c>
      <c r="AK15" s="121">
        <f t="shared" si="7"/>
        <v>0</v>
      </c>
      <c r="AL15" s="121">
        <f t="shared" si="7"/>
        <v>0</v>
      </c>
      <c r="AM15" s="121">
        <f t="shared" si="7"/>
        <v>0</v>
      </c>
      <c r="AN15" s="121">
        <f t="shared" si="7"/>
        <v>0</v>
      </c>
      <c r="AO15" s="121">
        <f t="shared" si="7"/>
        <v>0</v>
      </c>
      <c r="AP15" s="121">
        <f t="shared" si="7"/>
        <v>0</v>
      </c>
      <c r="AQ15" s="121">
        <f t="shared" si="7"/>
        <v>0</v>
      </c>
      <c r="AR15" s="122">
        <f t="shared" si="7"/>
        <v>0</v>
      </c>
      <c r="AS15" s="145">
        <f t="shared" si="8"/>
        <v>0</v>
      </c>
      <c r="AT15" s="121">
        <f t="shared" si="8"/>
        <v>0</v>
      </c>
      <c r="AU15" s="121">
        <f t="shared" si="8"/>
        <v>0</v>
      </c>
      <c r="AV15" s="121">
        <f t="shared" si="8"/>
        <v>0</v>
      </c>
      <c r="AW15" s="121">
        <f t="shared" si="8"/>
        <v>0</v>
      </c>
      <c r="AX15" s="121">
        <f t="shared" si="8"/>
        <v>0</v>
      </c>
      <c r="AY15" s="121">
        <f t="shared" si="8"/>
        <v>0</v>
      </c>
      <c r="AZ15" s="121">
        <f t="shared" si="8"/>
        <v>0</v>
      </c>
      <c r="BA15" s="121">
        <f t="shared" si="8"/>
        <v>0</v>
      </c>
      <c r="BB15" s="122">
        <f t="shared" si="8"/>
        <v>0</v>
      </c>
      <c r="BC15" s="145">
        <f>+IF(N15="SP",L15,0)</f>
        <v>0</v>
      </c>
      <c r="BD15" s="192">
        <f t="shared" ref="BD15:BD45" si="20">+IF(P15="E",L15,0)</f>
        <v>0</v>
      </c>
      <c r="BE15" s="192">
        <f t="shared" ref="BE15:BE45" si="21">+IF(Q15="A",L15,0)</f>
        <v>0</v>
      </c>
      <c r="BF15" s="192">
        <f t="shared" si="9"/>
        <v>0</v>
      </c>
      <c r="BG15" s="192">
        <f t="shared" ref="BG15:BG53" si="22">+IF($N15=BG$12,$L15,0)</f>
        <v>0</v>
      </c>
      <c r="BH15" s="192">
        <f t="shared" ref="BH15:BI32" si="23">+IF($N15=BH$12,$L15*($F15/1000+1.7),0)</f>
        <v>0</v>
      </c>
      <c r="BI15" s="192">
        <f t="shared" si="23"/>
        <v>6.5804999999999998</v>
      </c>
      <c r="BJ15" s="122"/>
      <c r="BK15" s="123"/>
      <c r="BM15" s="125">
        <f t="shared" si="10"/>
        <v>0</v>
      </c>
      <c r="BN15" s="125">
        <f t="shared" ref="BN15:BN45" si="24">+IF(O15="SP",K15,0)</f>
        <v>0</v>
      </c>
    </row>
    <row r="16" spans="1:73" s="81" customFormat="1" ht="16.5" customHeight="1">
      <c r="A16" s="124" t="str">
        <f t="shared" si="11"/>
        <v>OK</v>
      </c>
      <c r="C16" s="748"/>
      <c r="D16" s="113"/>
      <c r="E16" s="114"/>
      <c r="F16" s="114">
        <f t="shared" si="12"/>
        <v>350</v>
      </c>
      <c r="G16" s="263" t="str">
        <f t="shared" si="12"/>
        <v>HD</v>
      </c>
      <c r="H16" s="115" t="str">
        <f t="shared" si="12"/>
        <v>K-9</v>
      </c>
      <c r="I16" s="117">
        <f t="shared" si="13"/>
        <v>2.7</v>
      </c>
      <c r="J16" s="116">
        <v>7</v>
      </c>
      <c r="K16" s="117">
        <f t="shared" si="14"/>
        <v>4.3</v>
      </c>
      <c r="L16" s="118">
        <f t="shared" si="15"/>
        <v>4.3</v>
      </c>
      <c r="M16" s="116">
        <v>0</v>
      </c>
      <c r="N16" s="113" t="str">
        <f>+N15</f>
        <v>G</v>
      </c>
      <c r="O16" s="115" t="str">
        <f>+O15</f>
        <v>N</v>
      </c>
      <c r="P16" s="238" t="str">
        <f t="shared" si="3"/>
        <v>E</v>
      </c>
      <c r="Q16" s="238"/>
      <c r="R16" s="126">
        <f t="shared" si="16"/>
        <v>295.04000000000002</v>
      </c>
      <c r="S16" s="120">
        <v>295.04000000000002</v>
      </c>
      <c r="T16" s="126">
        <f t="shared" si="17"/>
        <v>292.83</v>
      </c>
      <c r="U16" s="264">
        <f t="shared" si="4"/>
        <v>292.83</v>
      </c>
      <c r="V16" s="117">
        <f t="shared" si="18"/>
        <v>2.2100000000000364</v>
      </c>
      <c r="W16" s="118">
        <f t="shared" si="19"/>
        <v>2.2100000000000364</v>
      </c>
      <c r="X16" s="189">
        <f t="shared" si="5"/>
        <v>2.21</v>
      </c>
      <c r="Y16" s="145">
        <f t="shared" si="6"/>
        <v>0</v>
      </c>
      <c r="Z16" s="121">
        <f t="shared" si="6"/>
        <v>0</v>
      </c>
      <c r="AA16" s="121">
        <f t="shared" si="6"/>
        <v>0</v>
      </c>
      <c r="AB16" s="121">
        <f t="shared" si="6"/>
        <v>0</v>
      </c>
      <c r="AC16" s="121">
        <f t="shared" si="6"/>
        <v>0</v>
      </c>
      <c r="AD16" s="121">
        <f t="shared" si="6"/>
        <v>4.3</v>
      </c>
      <c r="AE16" s="121">
        <f t="shared" si="6"/>
        <v>0</v>
      </c>
      <c r="AF16" s="121">
        <f t="shared" si="6"/>
        <v>0</v>
      </c>
      <c r="AG16" s="121">
        <f t="shared" si="6"/>
        <v>0</v>
      </c>
      <c r="AH16" s="122">
        <f t="shared" si="6"/>
        <v>0</v>
      </c>
      <c r="AI16" s="145">
        <f t="shared" si="7"/>
        <v>0</v>
      </c>
      <c r="AJ16" s="121">
        <f t="shared" si="7"/>
        <v>0</v>
      </c>
      <c r="AK16" s="121">
        <f t="shared" si="7"/>
        <v>0</v>
      </c>
      <c r="AL16" s="121">
        <f t="shared" si="7"/>
        <v>0</v>
      </c>
      <c r="AM16" s="121">
        <f t="shared" si="7"/>
        <v>0</v>
      </c>
      <c r="AN16" s="121">
        <f t="shared" si="7"/>
        <v>0</v>
      </c>
      <c r="AO16" s="121">
        <f t="shared" si="7"/>
        <v>0</v>
      </c>
      <c r="AP16" s="121">
        <f t="shared" si="7"/>
        <v>0</v>
      </c>
      <c r="AQ16" s="121">
        <f t="shared" si="7"/>
        <v>0</v>
      </c>
      <c r="AR16" s="122">
        <f t="shared" si="7"/>
        <v>0</v>
      </c>
      <c r="AS16" s="145">
        <f t="shared" si="8"/>
        <v>0</v>
      </c>
      <c r="AT16" s="121">
        <f t="shared" si="8"/>
        <v>0</v>
      </c>
      <c r="AU16" s="121">
        <f t="shared" si="8"/>
        <v>0</v>
      </c>
      <c r="AV16" s="121">
        <f t="shared" si="8"/>
        <v>0</v>
      </c>
      <c r="AW16" s="121">
        <f t="shared" si="8"/>
        <v>0</v>
      </c>
      <c r="AX16" s="121">
        <f t="shared" si="8"/>
        <v>0</v>
      </c>
      <c r="AY16" s="121">
        <f t="shared" si="8"/>
        <v>0</v>
      </c>
      <c r="AZ16" s="121">
        <f t="shared" si="8"/>
        <v>0</v>
      </c>
      <c r="BA16" s="121">
        <f t="shared" si="8"/>
        <v>0</v>
      </c>
      <c r="BB16" s="122">
        <f t="shared" si="8"/>
        <v>0</v>
      </c>
      <c r="BC16" s="145">
        <f>+IF(N16="SP",L16,0)</f>
        <v>0</v>
      </c>
      <c r="BD16" s="192">
        <f t="shared" si="20"/>
        <v>4.3</v>
      </c>
      <c r="BE16" s="192">
        <f t="shared" si="21"/>
        <v>0</v>
      </c>
      <c r="BF16" s="192">
        <f t="shared" si="9"/>
        <v>0</v>
      </c>
      <c r="BG16" s="192">
        <f t="shared" si="22"/>
        <v>0</v>
      </c>
      <c r="BH16" s="192">
        <f t="shared" si="23"/>
        <v>0</v>
      </c>
      <c r="BI16" s="192">
        <f t="shared" si="23"/>
        <v>8.8149999999999995</v>
      </c>
      <c r="BJ16" s="122"/>
      <c r="BK16" s="123"/>
      <c r="BM16" s="125">
        <f t="shared" si="10"/>
        <v>0</v>
      </c>
      <c r="BN16" s="125">
        <f t="shared" si="24"/>
        <v>0</v>
      </c>
    </row>
    <row r="17" spans="1:75" s="81" customFormat="1" ht="16.5" customHeight="1">
      <c r="A17" s="124" t="str">
        <f t="shared" si="11"/>
        <v>OK</v>
      </c>
      <c r="C17" s="748"/>
      <c r="D17" s="113"/>
      <c r="E17" s="114"/>
      <c r="F17" s="114">
        <f t="shared" si="12"/>
        <v>350</v>
      </c>
      <c r="G17" s="263" t="str">
        <f t="shared" si="12"/>
        <v>HD</v>
      </c>
      <c r="H17" s="115" t="str">
        <f t="shared" si="12"/>
        <v>K-9</v>
      </c>
      <c r="I17" s="117">
        <f t="shared" si="13"/>
        <v>7</v>
      </c>
      <c r="J17" s="116">
        <v>33.479999999999997</v>
      </c>
      <c r="K17" s="117">
        <f t="shared" si="14"/>
        <v>26.479999999999997</v>
      </c>
      <c r="L17" s="118">
        <f t="shared" si="15"/>
        <v>26.48</v>
      </c>
      <c r="M17" s="116">
        <v>0</v>
      </c>
      <c r="N17" s="113" t="s">
        <v>218</v>
      </c>
      <c r="O17" s="115" t="str">
        <f t="shared" ref="O17:O30" si="25">+O16</f>
        <v>N</v>
      </c>
      <c r="P17" s="238" t="str">
        <f t="shared" si="3"/>
        <v>E</v>
      </c>
      <c r="Q17" s="238"/>
      <c r="R17" s="126">
        <f t="shared" si="16"/>
        <v>295.04000000000002</v>
      </c>
      <c r="S17" s="120">
        <v>295.19</v>
      </c>
      <c r="T17" s="126">
        <f t="shared" si="17"/>
        <v>292.83</v>
      </c>
      <c r="U17" s="264">
        <f t="shared" si="4"/>
        <v>292.83</v>
      </c>
      <c r="V17" s="117">
        <f t="shared" si="18"/>
        <v>2.2100000000000364</v>
      </c>
      <c r="W17" s="118">
        <f t="shared" si="19"/>
        <v>2.3600000000000136</v>
      </c>
      <c r="X17" s="189">
        <f t="shared" si="5"/>
        <v>2.29</v>
      </c>
      <c r="Y17" s="145">
        <f t="shared" si="6"/>
        <v>0</v>
      </c>
      <c r="Z17" s="121">
        <f t="shared" si="6"/>
        <v>0</v>
      </c>
      <c r="AA17" s="121">
        <f t="shared" si="6"/>
        <v>0</v>
      </c>
      <c r="AB17" s="121">
        <f t="shared" si="6"/>
        <v>0</v>
      </c>
      <c r="AC17" s="121">
        <f t="shared" si="6"/>
        <v>0</v>
      </c>
      <c r="AD17" s="121">
        <f t="shared" si="6"/>
        <v>26.48</v>
      </c>
      <c r="AE17" s="121">
        <f t="shared" si="6"/>
        <v>0</v>
      </c>
      <c r="AF17" s="121">
        <f t="shared" si="6"/>
        <v>0</v>
      </c>
      <c r="AG17" s="121">
        <f t="shared" si="6"/>
        <v>0</v>
      </c>
      <c r="AH17" s="122">
        <f t="shared" si="6"/>
        <v>0</v>
      </c>
      <c r="AI17" s="145">
        <f t="shared" si="7"/>
        <v>0</v>
      </c>
      <c r="AJ17" s="121">
        <f t="shared" si="7"/>
        <v>0</v>
      </c>
      <c r="AK17" s="121">
        <f t="shared" si="7"/>
        <v>0</v>
      </c>
      <c r="AL17" s="121">
        <f t="shared" si="7"/>
        <v>0</v>
      </c>
      <c r="AM17" s="121">
        <f t="shared" si="7"/>
        <v>0</v>
      </c>
      <c r="AN17" s="121">
        <f t="shared" si="7"/>
        <v>0</v>
      </c>
      <c r="AO17" s="121">
        <f t="shared" si="7"/>
        <v>0</v>
      </c>
      <c r="AP17" s="121">
        <f t="shared" si="7"/>
        <v>0</v>
      </c>
      <c r="AQ17" s="121">
        <f t="shared" si="7"/>
        <v>0</v>
      </c>
      <c r="AR17" s="122">
        <f t="shared" si="7"/>
        <v>0</v>
      </c>
      <c r="AS17" s="145">
        <f t="shared" si="8"/>
        <v>0</v>
      </c>
      <c r="AT17" s="121">
        <f t="shared" si="8"/>
        <v>0</v>
      </c>
      <c r="AU17" s="121">
        <f t="shared" si="8"/>
        <v>0</v>
      </c>
      <c r="AV17" s="121">
        <f t="shared" si="8"/>
        <v>0</v>
      </c>
      <c r="AW17" s="121">
        <f t="shared" si="8"/>
        <v>0</v>
      </c>
      <c r="AX17" s="121">
        <f t="shared" si="8"/>
        <v>0</v>
      </c>
      <c r="AY17" s="121">
        <f t="shared" si="8"/>
        <v>0</v>
      </c>
      <c r="AZ17" s="121">
        <f t="shared" si="8"/>
        <v>0</v>
      </c>
      <c r="BA17" s="121">
        <f t="shared" si="8"/>
        <v>0</v>
      </c>
      <c r="BB17" s="122">
        <f t="shared" si="8"/>
        <v>0</v>
      </c>
      <c r="BC17" s="145">
        <f>+IF(N17="SP",L17,0)</f>
        <v>0</v>
      </c>
      <c r="BD17" s="192">
        <f t="shared" si="20"/>
        <v>26.48</v>
      </c>
      <c r="BE17" s="192">
        <f t="shared" si="21"/>
        <v>0</v>
      </c>
      <c r="BF17" s="192">
        <f t="shared" si="9"/>
        <v>25.155999999999999</v>
      </c>
      <c r="BG17" s="192">
        <f t="shared" si="22"/>
        <v>0</v>
      </c>
      <c r="BH17" s="192">
        <f t="shared" si="23"/>
        <v>0</v>
      </c>
      <c r="BI17" s="192">
        <f t="shared" si="23"/>
        <v>0</v>
      </c>
      <c r="BJ17" s="122"/>
      <c r="BK17" s="123"/>
      <c r="BM17" s="125">
        <f t="shared" si="10"/>
        <v>26.48</v>
      </c>
      <c r="BN17" s="125">
        <f t="shared" si="24"/>
        <v>0</v>
      </c>
      <c r="BS17" s="81">
        <v>0.1</v>
      </c>
      <c r="BU17" s="81" t="s">
        <v>208</v>
      </c>
      <c r="BW17" s="81">
        <v>0.1</v>
      </c>
    </row>
    <row r="18" spans="1:75" s="81" customFormat="1" ht="16.5" customHeight="1">
      <c r="A18" s="124" t="str">
        <f t="shared" si="11"/>
        <v>OK</v>
      </c>
      <c r="C18" s="748"/>
      <c r="D18" s="113"/>
      <c r="E18" s="114"/>
      <c r="F18" s="114">
        <f t="shared" si="12"/>
        <v>350</v>
      </c>
      <c r="G18" s="263" t="str">
        <f t="shared" si="12"/>
        <v>HD</v>
      </c>
      <c r="H18" s="115" t="str">
        <f t="shared" si="12"/>
        <v>K-9</v>
      </c>
      <c r="I18" s="117">
        <f t="shared" si="13"/>
        <v>33.479999999999997</v>
      </c>
      <c r="J18" s="116">
        <v>59.98</v>
      </c>
      <c r="K18" s="117">
        <f t="shared" si="14"/>
        <v>26.5</v>
      </c>
      <c r="L18" s="118">
        <f t="shared" si="15"/>
        <v>26.51</v>
      </c>
      <c r="M18" s="116">
        <v>2.88</v>
      </c>
      <c r="N18" s="113" t="str">
        <f t="shared" ref="N18:N30" si="26">+N17</f>
        <v>AF</v>
      </c>
      <c r="O18" s="115" t="str">
        <f t="shared" si="25"/>
        <v>N</v>
      </c>
      <c r="P18" s="238" t="str">
        <f t="shared" si="3"/>
        <v>E</v>
      </c>
      <c r="Q18" s="238"/>
      <c r="R18" s="126">
        <f t="shared" si="16"/>
        <v>295.19</v>
      </c>
      <c r="S18" s="120">
        <v>295.83999999999997</v>
      </c>
      <c r="T18" s="126">
        <f t="shared" si="17"/>
        <v>292.83</v>
      </c>
      <c r="U18" s="264">
        <f t="shared" si="4"/>
        <v>293.59319999999997</v>
      </c>
      <c r="V18" s="117">
        <f t="shared" si="18"/>
        <v>2.3600000000000136</v>
      </c>
      <c r="W18" s="118">
        <f t="shared" si="19"/>
        <v>2.2468000000000075</v>
      </c>
      <c r="X18" s="189">
        <f t="shared" si="5"/>
        <v>2.2999999999999998</v>
      </c>
      <c r="Y18" s="145">
        <f t="shared" si="6"/>
        <v>0</v>
      </c>
      <c r="Z18" s="121">
        <f t="shared" si="6"/>
        <v>0</v>
      </c>
      <c r="AA18" s="121">
        <f t="shared" si="6"/>
        <v>0</v>
      </c>
      <c r="AB18" s="121">
        <f t="shared" si="6"/>
        <v>0</v>
      </c>
      <c r="AC18" s="121">
        <f t="shared" si="6"/>
        <v>0</v>
      </c>
      <c r="AD18" s="121">
        <f t="shared" si="6"/>
        <v>26.51</v>
      </c>
      <c r="AE18" s="121">
        <f t="shared" si="6"/>
        <v>0</v>
      </c>
      <c r="AF18" s="121">
        <f t="shared" si="6"/>
        <v>0</v>
      </c>
      <c r="AG18" s="121">
        <f t="shared" si="6"/>
        <v>0</v>
      </c>
      <c r="AH18" s="122">
        <f t="shared" si="6"/>
        <v>0</v>
      </c>
      <c r="AI18" s="145">
        <f t="shared" si="7"/>
        <v>0</v>
      </c>
      <c r="AJ18" s="121">
        <f t="shared" si="7"/>
        <v>0</v>
      </c>
      <c r="AK18" s="121">
        <f t="shared" si="7"/>
        <v>0</v>
      </c>
      <c r="AL18" s="121">
        <f t="shared" si="7"/>
        <v>0</v>
      </c>
      <c r="AM18" s="121">
        <f t="shared" si="7"/>
        <v>0</v>
      </c>
      <c r="AN18" s="121">
        <f t="shared" si="7"/>
        <v>0</v>
      </c>
      <c r="AO18" s="121">
        <f t="shared" si="7"/>
        <v>0</v>
      </c>
      <c r="AP18" s="121">
        <f t="shared" si="7"/>
        <v>0</v>
      </c>
      <c r="AQ18" s="121">
        <f t="shared" si="7"/>
        <v>0</v>
      </c>
      <c r="AR18" s="122">
        <f t="shared" si="7"/>
        <v>0</v>
      </c>
      <c r="AS18" s="145">
        <f t="shared" si="8"/>
        <v>0</v>
      </c>
      <c r="AT18" s="121">
        <f t="shared" si="8"/>
        <v>0</v>
      </c>
      <c r="AU18" s="121">
        <f t="shared" si="8"/>
        <v>0</v>
      </c>
      <c r="AV18" s="121">
        <f t="shared" si="8"/>
        <v>0</v>
      </c>
      <c r="AW18" s="121">
        <f t="shared" si="8"/>
        <v>0</v>
      </c>
      <c r="AX18" s="121">
        <f t="shared" si="8"/>
        <v>0</v>
      </c>
      <c r="AY18" s="121">
        <f t="shared" si="8"/>
        <v>0</v>
      </c>
      <c r="AZ18" s="121">
        <f t="shared" si="8"/>
        <v>0</v>
      </c>
      <c r="BA18" s="121">
        <f t="shared" si="8"/>
        <v>0</v>
      </c>
      <c r="BB18" s="122">
        <f t="shared" si="8"/>
        <v>0</v>
      </c>
      <c r="BC18" s="145">
        <f>+IF(N18="SP",L18,0)</f>
        <v>0</v>
      </c>
      <c r="BD18" s="192">
        <f t="shared" si="20"/>
        <v>26.51</v>
      </c>
      <c r="BE18" s="192">
        <f t="shared" si="21"/>
        <v>0</v>
      </c>
      <c r="BF18" s="192">
        <f t="shared" si="9"/>
        <v>25.1845</v>
      </c>
      <c r="BG18" s="192">
        <f t="shared" si="22"/>
        <v>0</v>
      </c>
      <c r="BH18" s="192">
        <f t="shared" si="23"/>
        <v>0</v>
      </c>
      <c r="BI18" s="192">
        <f t="shared" si="23"/>
        <v>0</v>
      </c>
      <c r="BJ18" s="122"/>
      <c r="BK18" s="123"/>
      <c r="BM18" s="125">
        <f t="shared" si="10"/>
        <v>26.51</v>
      </c>
      <c r="BN18" s="125">
        <f t="shared" si="24"/>
        <v>0</v>
      </c>
    </row>
    <row r="19" spans="1:75" s="81" customFormat="1" ht="16.5" customHeight="1">
      <c r="A19" s="124" t="str">
        <f t="shared" si="11"/>
        <v>OK</v>
      </c>
      <c r="C19" s="748"/>
      <c r="D19" s="113"/>
      <c r="E19" s="114"/>
      <c r="F19" s="114">
        <f t="shared" si="12"/>
        <v>350</v>
      </c>
      <c r="G19" s="263" t="str">
        <f t="shared" si="12"/>
        <v>HD</v>
      </c>
      <c r="H19" s="115" t="str">
        <f t="shared" si="12"/>
        <v>K-9</v>
      </c>
      <c r="I19" s="117">
        <f t="shared" si="13"/>
        <v>59.98</v>
      </c>
      <c r="J19" s="116">
        <v>346.38</v>
      </c>
      <c r="K19" s="117">
        <v>286.04000000000002</v>
      </c>
      <c r="L19" s="118">
        <f t="shared" si="15"/>
        <v>286.16000000000003</v>
      </c>
      <c r="M19" s="116">
        <v>2.88</v>
      </c>
      <c r="N19" s="113" t="str">
        <f t="shared" si="26"/>
        <v>AF</v>
      </c>
      <c r="O19" s="115" t="str">
        <f t="shared" si="25"/>
        <v>N</v>
      </c>
      <c r="P19" s="238" t="str">
        <f t="shared" si="3"/>
        <v>E</v>
      </c>
      <c r="Q19" s="238"/>
      <c r="R19" s="126">
        <f t="shared" si="16"/>
        <v>295.83999999999997</v>
      </c>
      <c r="S19" s="120">
        <v>302.72000000000003</v>
      </c>
      <c r="T19" s="126">
        <f t="shared" si="17"/>
        <v>293.59319999999997</v>
      </c>
      <c r="U19" s="264">
        <v>300.94</v>
      </c>
      <c r="V19" s="117">
        <f t="shared" si="18"/>
        <v>2.2468000000000075</v>
      </c>
      <c r="W19" s="118">
        <f t="shared" si="19"/>
        <v>1.7800000000000296</v>
      </c>
      <c r="X19" s="189">
        <f t="shared" si="5"/>
        <v>2.0099999999999998</v>
      </c>
      <c r="Y19" s="145">
        <f t="shared" si="6"/>
        <v>0</v>
      </c>
      <c r="Z19" s="121">
        <f t="shared" si="6"/>
        <v>0</v>
      </c>
      <c r="AA19" s="121">
        <f t="shared" si="6"/>
        <v>0</v>
      </c>
      <c r="AB19" s="121">
        <f t="shared" si="6"/>
        <v>0</v>
      </c>
      <c r="AC19" s="121">
        <f t="shared" si="6"/>
        <v>0</v>
      </c>
      <c r="AD19" s="121">
        <f t="shared" si="6"/>
        <v>286.16000000000003</v>
      </c>
      <c r="AE19" s="121">
        <f t="shared" si="6"/>
        <v>0</v>
      </c>
      <c r="AF19" s="121">
        <f t="shared" si="6"/>
        <v>0</v>
      </c>
      <c r="AG19" s="121">
        <f t="shared" si="6"/>
        <v>0</v>
      </c>
      <c r="AH19" s="122">
        <f t="shared" si="6"/>
        <v>0</v>
      </c>
      <c r="AI19" s="145">
        <f t="shared" si="7"/>
        <v>0</v>
      </c>
      <c r="AJ19" s="121">
        <f t="shared" si="7"/>
        <v>0</v>
      </c>
      <c r="AK19" s="121">
        <f t="shared" si="7"/>
        <v>0</v>
      </c>
      <c r="AL19" s="121">
        <f t="shared" si="7"/>
        <v>0</v>
      </c>
      <c r="AM19" s="121">
        <f t="shared" si="7"/>
        <v>0</v>
      </c>
      <c r="AN19" s="121">
        <f t="shared" si="7"/>
        <v>0</v>
      </c>
      <c r="AO19" s="121">
        <f t="shared" si="7"/>
        <v>0</v>
      </c>
      <c r="AP19" s="121">
        <f t="shared" si="7"/>
        <v>0</v>
      </c>
      <c r="AQ19" s="121">
        <f t="shared" si="7"/>
        <v>0</v>
      </c>
      <c r="AR19" s="122">
        <f t="shared" si="7"/>
        <v>0</v>
      </c>
      <c r="AS19" s="145">
        <f t="shared" si="8"/>
        <v>0</v>
      </c>
      <c r="AT19" s="121">
        <f t="shared" si="8"/>
        <v>0</v>
      </c>
      <c r="AU19" s="121">
        <f t="shared" si="8"/>
        <v>0</v>
      </c>
      <c r="AV19" s="121">
        <f t="shared" si="8"/>
        <v>0</v>
      </c>
      <c r="AW19" s="121">
        <f t="shared" si="8"/>
        <v>0</v>
      </c>
      <c r="AX19" s="121">
        <f t="shared" si="8"/>
        <v>0</v>
      </c>
      <c r="AY19" s="121">
        <f t="shared" si="8"/>
        <v>0</v>
      </c>
      <c r="AZ19" s="121">
        <f t="shared" si="8"/>
        <v>0</v>
      </c>
      <c r="BA19" s="121">
        <f t="shared" si="8"/>
        <v>0</v>
      </c>
      <c r="BB19" s="122">
        <f t="shared" si="8"/>
        <v>0</v>
      </c>
      <c r="BC19" s="145">
        <f t="shared" ref="BC19:BC45" si="27">+IF(N19="SP",L19,0)</f>
        <v>0</v>
      </c>
      <c r="BD19" s="192">
        <f t="shared" si="20"/>
        <v>286.16000000000003</v>
      </c>
      <c r="BE19" s="192">
        <f t="shared" si="21"/>
        <v>0</v>
      </c>
      <c r="BF19" s="192">
        <f t="shared" si="9"/>
        <v>271.85200000000003</v>
      </c>
      <c r="BG19" s="192">
        <f t="shared" si="22"/>
        <v>0</v>
      </c>
      <c r="BH19" s="192">
        <f t="shared" si="23"/>
        <v>0</v>
      </c>
      <c r="BI19" s="192">
        <f t="shared" si="23"/>
        <v>0</v>
      </c>
      <c r="BJ19" s="122"/>
      <c r="BK19" s="123"/>
      <c r="BM19" s="125">
        <f t="shared" si="10"/>
        <v>286.16000000000003</v>
      </c>
      <c r="BN19" s="125">
        <f t="shared" si="24"/>
        <v>0</v>
      </c>
    </row>
    <row r="20" spans="1:75" s="81" customFormat="1" ht="16.5" customHeight="1">
      <c r="A20" s="124" t="str">
        <f t="shared" si="11"/>
        <v>OK</v>
      </c>
      <c r="C20" s="748"/>
      <c r="D20" s="113"/>
      <c r="E20" s="114"/>
      <c r="F20" s="114">
        <f t="shared" si="12"/>
        <v>350</v>
      </c>
      <c r="G20" s="263" t="str">
        <f t="shared" si="12"/>
        <v>HD</v>
      </c>
      <c r="H20" s="115" t="str">
        <f t="shared" si="12"/>
        <v>K-9</v>
      </c>
      <c r="I20" s="117">
        <f t="shared" si="13"/>
        <v>346.38</v>
      </c>
      <c r="J20" s="116">
        <v>349.1</v>
      </c>
      <c r="K20" s="117">
        <f t="shared" si="14"/>
        <v>2.7200000000000273</v>
      </c>
      <c r="L20" s="118">
        <f t="shared" si="15"/>
        <v>2.72</v>
      </c>
      <c r="M20" s="116">
        <v>0.3</v>
      </c>
      <c r="N20" s="113" t="str">
        <f t="shared" si="26"/>
        <v>AF</v>
      </c>
      <c r="O20" s="115" t="str">
        <f t="shared" si="25"/>
        <v>N</v>
      </c>
      <c r="P20" s="238" t="str">
        <f t="shared" si="3"/>
        <v>E</v>
      </c>
      <c r="Q20" s="238"/>
      <c r="R20" s="126">
        <f t="shared" si="16"/>
        <v>302.72000000000003</v>
      </c>
      <c r="S20" s="120">
        <v>303.69</v>
      </c>
      <c r="T20" s="126">
        <f t="shared" si="17"/>
        <v>300.94</v>
      </c>
      <c r="U20" s="264">
        <v>301.04000000000002</v>
      </c>
      <c r="V20" s="117">
        <f t="shared" si="18"/>
        <v>1.7800000000000296</v>
      </c>
      <c r="W20" s="118">
        <f t="shared" si="19"/>
        <v>2.6499999999999773</v>
      </c>
      <c r="X20" s="189">
        <f t="shared" si="5"/>
        <v>2.2200000000000002</v>
      </c>
      <c r="Y20" s="145">
        <f t="shared" si="6"/>
        <v>0</v>
      </c>
      <c r="Z20" s="121">
        <f t="shared" si="6"/>
        <v>0</v>
      </c>
      <c r="AA20" s="121">
        <f t="shared" si="6"/>
        <v>0</v>
      </c>
      <c r="AB20" s="121">
        <f t="shared" si="6"/>
        <v>0</v>
      </c>
      <c r="AC20" s="121">
        <f t="shared" si="6"/>
        <v>0</v>
      </c>
      <c r="AD20" s="121">
        <f t="shared" si="6"/>
        <v>2.72</v>
      </c>
      <c r="AE20" s="121">
        <f t="shared" si="6"/>
        <v>0</v>
      </c>
      <c r="AF20" s="121">
        <f t="shared" si="6"/>
        <v>0</v>
      </c>
      <c r="AG20" s="121">
        <f t="shared" si="6"/>
        <v>0</v>
      </c>
      <c r="AH20" s="122">
        <f t="shared" si="6"/>
        <v>0</v>
      </c>
      <c r="AI20" s="145">
        <f t="shared" si="7"/>
        <v>0</v>
      </c>
      <c r="AJ20" s="121">
        <f t="shared" si="7"/>
        <v>0</v>
      </c>
      <c r="AK20" s="121">
        <f t="shared" si="7"/>
        <v>0</v>
      </c>
      <c r="AL20" s="121">
        <f t="shared" si="7"/>
        <v>0</v>
      </c>
      <c r="AM20" s="121">
        <f t="shared" si="7"/>
        <v>0</v>
      </c>
      <c r="AN20" s="121">
        <f t="shared" si="7"/>
        <v>0</v>
      </c>
      <c r="AO20" s="121">
        <f t="shared" si="7"/>
        <v>0</v>
      </c>
      <c r="AP20" s="121">
        <f t="shared" si="7"/>
        <v>0</v>
      </c>
      <c r="AQ20" s="121">
        <f t="shared" si="7"/>
        <v>0</v>
      </c>
      <c r="AR20" s="122">
        <f t="shared" si="7"/>
        <v>0</v>
      </c>
      <c r="AS20" s="145">
        <f t="shared" si="8"/>
        <v>0</v>
      </c>
      <c r="AT20" s="121">
        <f t="shared" si="8"/>
        <v>0</v>
      </c>
      <c r="AU20" s="121">
        <f t="shared" si="8"/>
        <v>0</v>
      </c>
      <c r="AV20" s="121">
        <f t="shared" si="8"/>
        <v>0</v>
      </c>
      <c r="AW20" s="121">
        <f t="shared" si="8"/>
        <v>0</v>
      </c>
      <c r="AX20" s="121">
        <f t="shared" si="8"/>
        <v>0</v>
      </c>
      <c r="AY20" s="121">
        <f t="shared" si="8"/>
        <v>0</v>
      </c>
      <c r="AZ20" s="121">
        <f t="shared" si="8"/>
        <v>0</v>
      </c>
      <c r="BA20" s="121">
        <f t="shared" si="8"/>
        <v>0</v>
      </c>
      <c r="BB20" s="122">
        <f t="shared" si="8"/>
        <v>0</v>
      </c>
      <c r="BC20" s="145">
        <f t="shared" si="27"/>
        <v>0</v>
      </c>
      <c r="BD20" s="192">
        <f t="shared" si="20"/>
        <v>2.72</v>
      </c>
      <c r="BE20" s="192">
        <f t="shared" si="21"/>
        <v>0</v>
      </c>
      <c r="BF20" s="192">
        <f t="shared" si="9"/>
        <v>2.5840000000000001</v>
      </c>
      <c r="BG20" s="192">
        <f t="shared" si="22"/>
        <v>0</v>
      </c>
      <c r="BH20" s="192">
        <f t="shared" si="23"/>
        <v>0</v>
      </c>
      <c r="BI20" s="192">
        <f t="shared" si="23"/>
        <v>0</v>
      </c>
      <c r="BJ20" s="122"/>
      <c r="BK20" s="123"/>
      <c r="BM20" s="125">
        <f t="shared" si="10"/>
        <v>2.72</v>
      </c>
      <c r="BN20" s="125">
        <f t="shared" si="24"/>
        <v>0</v>
      </c>
    </row>
    <row r="21" spans="1:75" s="81" customFormat="1" ht="16.5" customHeight="1">
      <c r="A21" s="124" t="str">
        <f t="shared" si="11"/>
        <v>OK</v>
      </c>
      <c r="C21" s="748"/>
      <c r="D21" s="113"/>
      <c r="E21" s="114"/>
      <c r="F21" s="114">
        <f t="shared" si="12"/>
        <v>350</v>
      </c>
      <c r="G21" s="263" t="str">
        <f t="shared" si="12"/>
        <v>HD</v>
      </c>
      <c r="H21" s="115" t="str">
        <f t="shared" si="12"/>
        <v>K-9</v>
      </c>
      <c r="I21" s="117">
        <f t="shared" si="13"/>
        <v>349.1</v>
      </c>
      <c r="J21" s="116">
        <v>402.56</v>
      </c>
      <c r="K21" s="117">
        <f t="shared" si="14"/>
        <v>53.45999999999998</v>
      </c>
      <c r="L21" s="118">
        <f t="shared" si="15"/>
        <v>53.47</v>
      </c>
      <c r="M21" s="116">
        <v>2.2599999999999998</v>
      </c>
      <c r="N21" s="113" t="str">
        <f t="shared" si="26"/>
        <v>AF</v>
      </c>
      <c r="O21" s="115" t="str">
        <f t="shared" si="25"/>
        <v>N</v>
      </c>
      <c r="P21" s="238" t="str">
        <f t="shared" si="3"/>
        <v>E</v>
      </c>
      <c r="Q21" s="238"/>
      <c r="R21" s="126">
        <f t="shared" si="16"/>
        <v>303.69</v>
      </c>
      <c r="S21" s="120">
        <v>305.44</v>
      </c>
      <c r="T21" s="126">
        <f t="shared" si="17"/>
        <v>301.04000000000002</v>
      </c>
      <c r="U21" s="264">
        <f t="shared" si="4"/>
        <v>302.24819600000001</v>
      </c>
      <c r="V21" s="117">
        <f t="shared" si="18"/>
        <v>2.6499999999999773</v>
      </c>
      <c r="W21" s="118">
        <f t="shared" si="19"/>
        <v>3.1918039999999905</v>
      </c>
      <c r="X21" s="189">
        <f t="shared" si="5"/>
        <v>2.92</v>
      </c>
      <c r="Y21" s="145">
        <f t="shared" si="6"/>
        <v>0</v>
      </c>
      <c r="Z21" s="121">
        <f t="shared" si="6"/>
        <v>0</v>
      </c>
      <c r="AA21" s="121">
        <f t="shared" si="6"/>
        <v>0</v>
      </c>
      <c r="AB21" s="121">
        <f t="shared" si="6"/>
        <v>0</v>
      </c>
      <c r="AC21" s="121">
        <f t="shared" si="6"/>
        <v>0</v>
      </c>
      <c r="AD21" s="121">
        <f t="shared" si="6"/>
        <v>0</v>
      </c>
      <c r="AE21" s="121">
        <f t="shared" si="6"/>
        <v>53.47</v>
      </c>
      <c r="AF21" s="121">
        <f t="shared" si="6"/>
        <v>0</v>
      </c>
      <c r="AG21" s="121">
        <f t="shared" si="6"/>
        <v>0</v>
      </c>
      <c r="AH21" s="122">
        <f t="shared" si="6"/>
        <v>0</v>
      </c>
      <c r="AI21" s="145">
        <f t="shared" si="7"/>
        <v>0</v>
      </c>
      <c r="AJ21" s="121">
        <f t="shared" si="7"/>
        <v>0</v>
      </c>
      <c r="AK21" s="121">
        <f t="shared" si="7"/>
        <v>0</v>
      </c>
      <c r="AL21" s="121">
        <f t="shared" si="7"/>
        <v>0</v>
      </c>
      <c r="AM21" s="121">
        <f t="shared" si="7"/>
        <v>0</v>
      </c>
      <c r="AN21" s="121">
        <f t="shared" si="7"/>
        <v>0</v>
      </c>
      <c r="AO21" s="121">
        <f t="shared" si="7"/>
        <v>0</v>
      </c>
      <c r="AP21" s="121">
        <f t="shared" si="7"/>
        <v>0</v>
      </c>
      <c r="AQ21" s="121">
        <f t="shared" si="7"/>
        <v>0</v>
      </c>
      <c r="AR21" s="122">
        <f t="shared" si="7"/>
        <v>0</v>
      </c>
      <c r="AS21" s="145">
        <f t="shared" si="8"/>
        <v>0</v>
      </c>
      <c r="AT21" s="121">
        <f t="shared" si="8"/>
        <v>0</v>
      </c>
      <c r="AU21" s="121">
        <f t="shared" si="8"/>
        <v>0</v>
      </c>
      <c r="AV21" s="121">
        <f t="shared" si="8"/>
        <v>0</v>
      </c>
      <c r="AW21" s="121">
        <f t="shared" si="8"/>
        <v>0</v>
      </c>
      <c r="AX21" s="121">
        <f t="shared" si="8"/>
        <v>0</v>
      </c>
      <c r="AY21" s="121">
        <f t="shared" si="8"/>
        <v>0</v>
      </c>
      <c r="AZ21" s="121">
        <f t="shared" si="8"/>
        <v>0</v>
      </c>
      <c r="BA21" s="121">
        <f t="shared" si="8"/>
        <v>0</v>
      </c>
      <c r="BB21" s="122">
        <f t="shared" si="8"/>
        <v>0</v>
      </c>
      <c r="BC21" s="145">
        <f t="shared" si="27"/>
        <v>0</v>
      </c>
      <c r="BD21" s="192">
        <f t="shared" si="20"/>
        <v>53.47</v>
      </c>
      <c r="BE21" s="192">
        <f t="shared" si="21"/>
        <v>0</v>
      </c>
      <c r="BF21" s="192">
        <f t="shared" si="9"/>
        <v>50.796499999999995</v>
      </c>
      <c r="BG21" s="192">
        <f t="shared" si="22"/>
        <v>0</v>
      </c>
      <c r="BH21" s="192">
        <f t="shared" si="23"/>
        <v>0</v>
      </c>
      <c r="BI21" s="192">
        <f t="shared" si="23"/>
        <v>0</v>
      </c>
      <c r="BJ21" s="122"/>
      <c r="BK21" s="123"/>
      <c r="BM21" s="125">
        <f t="shared" si="10"/>
        <v>53.47</v>
      </c>
      <c r="BN21" s="125">
        <f t="shared" si="24"/>
        <v>0</v>
      </c>
    </row>
    <row r="22" spans="1:75" s="81" customFormat="1" ht="16.5" customHeight="1">
      <c r="A22" s="124" t="str">
        <f t="shared" si="11"/>
        <v>OK</v>
      </c>
      <c r="C22" s="748"/>
      <c r="D22" s="113"/>
      <c r="E22" s="114"/>
      <c r="F22" s="114">
        <f t="shared" si="12"/>
        <v>350</v>
      </c>
      <c r="G22" s="263" t="str">
        <f t="shared" si="12"/>
        <v>HD</v>
      </c>
      <c r="H22" s="115" t="str">
        <f t="shared" si="12"/>
        <v>K-9</v>
      </c>
      <c r="I22" s="117">
        <f t="shared" si="13"/>
        <v>402.56</v>
      </c>
      <c r="J22" s="116">
        <v>722.18</v>
      </c>
      <c r="K22" s="117">
        <f t="shared" si="14"/>
        <v>319.61999999999995</v>
      </c>
      <c r="L22" s="118">
        <f t="shared" si="15"/>
        <v>319.8</v>
      </c>
      <c r="M22" s="116">
        <v>3.34</v>
      </c>
      <c r="N22" s="113" t="str">
        <f t="shared" si="26"/>
        <v>AF</v>
      </c>
      <c r="O22" s="115" t="str">
        <f t="shared" si="25"/>
        <v>N</v>
      </c>
      <c r="P22" s="238" t="str">
        <f t="shared" si="3"/>
        <v>E</v>
      </c>
      <c r="Q22" s="238"/>
      <c r="R22" s="126">
        <f t="shared" si="16"/>
        <v>305.44</v>
      </c>
      <c r="S22" s="120">
        <v>315.14</v>
      </c>
      <c r="T22" s="126">
        <f t="shared" si="17"/>
        <v>302.24819600000001</v>
      </c>
      <c r="U22" s="264">
        <f t="shared" si="4"/>
        <v>312.92350399999998</v>
      </c>
      <c r="V22" s="117">
        <f t="shared" si="18"/>
        <v>3.1918039999999905</v>
      </c>
      <c r="W22" s="118">
        <f t="shared" si="19"/>
        <v>2.2164960000000065</v>
      </c>
      <c r="X22" s="189">
        <f t="shared" si="5"/>
        <v>2.7</v>
      </c>
      <c r="Y22" s="145">
        <f t="shared" si="6"/>
        <v>0</v>
      </c>
      <c r="Z22" s="121">
        <f t="shared" si="6"/>
        <v>0</v>
      </c>
      <c r="AA22" s="121">
        <f t="shared" si="6"/>
        <v>0</v>
      </c>
      <c r="AB22" s="121">
        <f t="shared" si="6"/>
        <v>0</v>
      </c>
      <c r="AC22" s="121">
        <f t="shared" si="6"/>
        <v>0</v>
      </c>
      <c r="AD22" s="121">
        <f t="shared" si="6"/>
        <v>0</v>
      </c>
      <c r="AE22" s="121">
        <f t="shared" si="6"/>
        <v>319.8</v>
      </c>
      <c r="AF22" s="121">
        <f t="shared" si="6"/>
        <v>0</v>
      </c>
      <c r="AG22" s="121">
        <f t="shared" si="6"/>
        <v>0</v>
      </c>
      <c r="AH22" s="122">
        <f t="shared" si="6"/>
        <v>0</v>
      </c>
      <c r="AI22" s="145">
        <f t="shared" si="7"/>
        <v>0</v>
      </c>
      <c r="AJ22" s="121">
        <f t="shared" si="7"/>
        <v>0</v>
      </c>
      <c r="AK22" s="121">
        <f t="shared" si="7"/>
        <v>0</v>
      </c>
      <c r="AL22" s="121">
        <f t="shared" si="7"/>
        <v>0</v>
      </c>
      <c r="AM22" s="121">
        <f t="shared" si="7"/>
        <v>0</v>
      </c>
      <c r="AN22" s="121">
        <f t="shared" si="7"/>
        <v>0</v>
      </c>
      <c r="AO22" s="121">
        <f t="shared" si="7"/>
        <v>0</v>
      </c>
      <c r="AP22" s="121">
        <f t="shared" si="7"/>
        <v>0</v>
      </c>
      <c r="AQ22" s="121">
        <f t="shared" si="7"/>
        <v>0</v>
      </c>
      <c r="AR22" s="122">
        <f t="shared" si="7"/>
        <v>0</v>
      </c>
      <c r="AS22" s="145">
        <f t="shared" si="8"/>
        <v>0</v>
      </c>
      <c r="AT22" s="121">
        <f t="shared" si="8"/>
        <v>0</v>
      </c>
      <c r="AU22" s="121">
        <f t="shared" si="8"/>
        <v>0</v>
      </c>
      <c r="AV22" s="121">
        <f t="shared" si="8"/>
        <v>0</v>
      </c>
      <c r="AW22" s="121">
        <f t="shared" si="8"/>
        <v>0</v>
      </c>
      <c r="AX22" s="121">
        <f t="shared" si="8"/>
        <v>0</v>
      </c>
      <c r="AY22" s="121">
        <f t="shared" si="8"/>
        <v>0</v>
      </c>
      <c r="AZ22" s="121">
        <f t="shared" si="8"/>
        <v>0</v>
      </c>
      <c r="BA22" s="121">
        <f t="shared" si="8"/>
        <v>0</v>
      </c>
      <c r="BB22" s="122">
        <f t="shared" si="8"/>
        <v>0</v>
      </c>
      <c r="BC22" s="145">
        <f t="shared" si="27"/>
        <v>0</v>
      </c>
      <c r="BD22" s="192">
        <f t="shared" si="20"/>
        <v>319.8</v>
      </c>
      <c r="BE22" s="192">
        <f t="shared" si="21"/>
        <v>0</v>
      </c>
      <c r="BF22" s="192">
        <f t="shared" si="9"/>
        <v>303.81</v>
      </c>
      <c r="BG22" s="192">
        <f t="shared" si="22"/>
        <v>0</v>
      </c>
      <c r="BH22" s="192">
        <f t="shared" si="23"/>
        <v>0</v>
      </c>
      <c r="BI22" s="192">
        <f t="shared" si="23"/>
        <v>0</v>
      </c>
      <c r="BJ22" s="122"/>
      <c r="BK22" s="123"/>
      <c r="BM22" s="125">
        <f t="shared" si="10"/>
        <v>319.8</v>
      </c>
      <c r="BN22" s="125">
        <f t="shared" si="24"/>
        <v>0</v>
      </c>
    </row>
    <row r="23" spans="1:75" s="81" customFormat="1" ht="16.5" customHeight="1">
      <c r="A23" s="124" t="str">
        <f t="shared" si="11"/>
        <v>OK</v>
      </c>
      <c r="C23" s="748"/>
      <c r="D23" s="113"/>
      <c r="E23" s="114"/>
      <c r="F23" s="114">
        <f t="shared" si="12"/>
        <v>350</v>
      </c>
      <c r="G23" s="263" t="str">
        <f t="shared" si="12"/>
        <v>HD</v>
      </c>
      <c r="H23" s="115" t="str">
        <f t="shared" si="12"/>
        <v>K-9</v>
      </c>
      <c r="I23" s="117">
        <f t="shared" si="13"/>
        <v>722.18</v>
      </c>
      <c r="J23" s="116">
        <v>979</v>
      </c>
      <c r="K23" s="117">
        <f t="shared" si="14"/>
        <v>256.82000000000005</v>
      </c>
      <c r="L23" s="118">
        <f>+ROUND(K23*SQRT((M23/100)^2+1),2)</f>
        <v>256.82</v>
      </c>
      <c r="M23" s="116">
        <v>-0.05</v>
      </c>
      <c r="N23" s="113" t="str">
        <f t="shared" si="26"/>
        <v>AF</v>
      </c>
      <c r="O23" s="115" t="str">
        <f t="shared" si="25"/>
        <v>N</v>
      </c>
      <c r="P23" s="238" t="str">
        <f t="shared" si="3"/>
        <v>E</v>
      </c>
      <c r="Q23" s="238"/>
      <c r="R23" s="126">
        <f t="shared" si="16"/>
        <v>315.14</v>
      </c>
      <c r="S23" s="120">
        <v>314.87</v>
      </c>
      <c r="T23" s="126">
        <f t="shared" si="17"/>
        <v>312.92350399999998</v>
      </c>
      <c r="U23" s="264">
        <f t="shared" si="4"/>
        <v>312.79509400000001</v>
      </c>
      <c r="V23" s="117">
        <f t="shared" si="18"/>
        <v>2.2164960000000065</v>
      </c>
      <c r="W23" s="118">
        <f t="shared" si="19"/>
        <v>2.0749059999999986</v>
      </c>
      <c r="X23" s="189">
        <f t="shared" si="5"/>
        <v>2.15</v>
      </c>
      <c r="Y23" s="145">
        <f t="shared" si="6"/>
        <v>0</v>
      </c>
      <c r="Z23" s="121">
        <f t="shared" si="6"/>
        <v>0</v>
      </c>
      <c r="AA23" s="121">
        <f t="shared" si="6"/>
        <v>0</v>
      </c>
      <c r="AB23" s="121">
        <f t="shared" si="6"/>
        <v>0</v>
      </c>
      <c r="AC23" s="121">
        <f t="shared" si="6"/>
        <v>0</v>
      </c>
      <c r="AD23" s="121">
        <f t="shared" si="6"/>
        <v>256.82</v>
      </c>
      <c r="AE23" s="121">
        <f t="shared" si="6"/>
        <v>0</v>
      </c>
      <c r="AF23" s="121">
        <f t="shared" si="6"/>
        <v>0</v>
      </c>
      <c r="AG23" s="121">
        <f t="shared" si="6"/>
        <v>0</v>
      </c>
      <c r="AH23" s="122">
        <f t="shared" si="6"/>
        <v>0</v>
      </c>
      <c r="AI23" s="145">
        <f t="shared" si="7"/>
        <v>0</v>
      </c>
      <c r="AJ23" s="121">
        <f t="shared" si="7"/>
        <v>0</v>
      </c>
      <c r="AK23" s="121">
        <f t="shared" si="7"/>
        <v>0</v>
      </c>
      <c r="AL23" s="121">
        <f t="shared" si="7"/>
        <v>0</v>
      </c>
      <c r="AM23" s="121">
        <f t="shared" si="7"/>
        <v>0</v>
      </c>
      <c r="AN23" s="121">
        <f t="shared" si="7"/>
        <v>0</v>
      </c>
      <c r="AO23" s="121">
        <f t="shared" si="7"/>
        <v>0</v>
      </c>
      <c r="AP23" s="121">
        <f t="shared" si="7"/>
        <v>0</v>
      </c>
      <c r="AQ23" s="121">
        <f t="shared" si="7"/>
        <v>0</v>
      </c>
      <c r="AR23" s="122">
        <f t="shared" si="7"/>
        <v>0</v>
      </c>
      <c r="AS23" s="145">
        <f t="shared" si="8"/>
        <v>0</v>
      </c>
      <c r="AT23" s="121">
        <f t="shared" si="8"/>
        <v>0</v>
      </c>
      <c r="AU23" s="121">
        <f t="shared" si="8"/>
        <v>0</v>
      </c>
      <c r="AV23" s="121">
        <f t="shared" si="8"/>
        <v>0</v>
      </c>
      <c r="AW23" s="121">
        <f t="shared" si="8"/>
        <v>0</v>
      </c>
      <c r="AX23" s="121">
        <f t="shared" si="8"/>
        <v>0</v>
      </c>
      <c r="AY23" s="121">
        <f t="shared" si="8"/>
        <v>0</v>
      </c>
      <c r="AZ23" s="121">
        <f t="shared" si="8"/>
        <v>0</v>
      </c>
      <c r="BA23" s="121">
        <f t="shared" si="8"/>
        <v>0</v>
      </c>
      <c r="BB23" s="122">
        <f t="shared" si="8"/>
        <v>0</v>
      </c>
      <c r="BC23" s="145">
        <f t="shared" si="27"/>
        <v>0</v>
      </c>
      <c r="BD23" s="192">
        <f t="shared" si="20"/>
        <v>256.82</v>
      </c>
      <c r="BE23" s="192">
        <f t="shared" si="21"/>
        <v>0</v>
      </c>
      <c r="BF23" s="192">
        <f t="shared" si="9"/>
        <v>243.97899999999998</v>
      </c>
      <c r="BG23" s="192">
        <f t="shared" si="22"/>
        <v>0</v>
      </c>
      <c r="BH23" s="192">
        <f t="shared" si="23"/>
        <v>0</v>
      </c>
      <c r="BI23" s="192">
        <f t="shared" si="23"/>
        <v>0</v>
      </c>
      <c r="BJ23" s="122"/>
      <c r="BK23" s="123"/>
      <c r="BM23" s="125">
        <f t="shared" si="10"/>
        <v>256.82</v>
      </c>
      <c r="BN23" s="125">
        <f t="shared" si="24"/>
        <v>0</v>
      </c>
    </row>
    <row r="24" spans="1:75" s="81" customFormat="1" ht="16.5" customHeight="1">
      <c r="A24" s="124" t="str">
        <f t="shared" si="11"/>
        <v>OK</v>
      </c>
      <c r="C24" s="748"/>
      <c r="D24" s="113"/>
      <c r="E24" s="114"/>
      <c r="F24" s="114">
        <f t="shared" si="12"/>
        <v>350</v>
      </c>
      <c r="G24" s="263" t="str">
        <f t="shared" si="12"/>
        <v>HD</v>
      </c>
      <c r="H24" s="115" t="str">
        <f t="shared" si="12"/>
        <v>K-9</v>
      </c>
      <c r="I24" s="117">
        <f t="shared" si="13"/>
        <v>979</v>
      </c>
      <c r="J24" s="116">
        <v>1083.69</v>
      </c>
      <c r="K24" s="117">
        <f t="shared" si="14"/>
        <v>104.69000000000005</v>
      </c>
      <c r="L24" s="118">
        <f>+ROUND(K24*SQRT((M24/100)^2+1),2)</f>
        <v>104.75</v>
      </c>
      <c r="M24" s="116">
        <v>3.34</v>
      </c>
      <c r="N24" s="113" t="str">
        <f t="shared" si="26"/>
        <v>AF</v>
      </c>
      <c r="O24" s="115" t="str">
        <f t="shared" si="25"/>
        <v>N</v>
      </c>
      <c r="P24" s="238" t="str">
        <f t="shared" si="3"/>
        <v>E</v>
      </c>
      <c r="Q24" s="238"/>
      <c r="R24" s="126">
        <f t="shared" si="16"/>
        <v>314.87</v>
      </c>
      <c r="S24" s="120">
        <v>318.83</v>
      </c>
      <c r="T24" s="126">
        <f t="shared" si="17"/>
        <v>312.79509400000001</v>
      </c>
      <c r="U24" s="264">
        <f t="shared" si="4"/>
        <v>316.29174</v>
      </c>
      <c r="V24" s="117">
        <f t="shared" si="18"/>
        <v>2.0749059999999986</v>
      </c>
      <c r="W24" s="118">
        <f t="shared" si="19"/>
        <v>2.5382599999999798</v>
      </c>
      <c r="X24" s="189">
        <f t="shared" si="5"/>
        <v>2.31</v>
      </c>
      <c r="Y24" s="145">
        <f t="shared" si="6"/>
        <v>0</v>
      </c>
      <c r="Z24" s="121">
        <f t="shared" si="6"/>
        <v>0</v>
      </c>
      <c r="AA24" s="121">
        <f t="shared" si="6"/>
        <v>0</v>
      </c>
      <c r="AB24" s="121">
        <f t="shared" si="6"/>
        <v>0</v>
      </c>
      <c r="AC24" s="121">
        <f t="shared" si="6"/>
        <v>0</v>
      </c>
      <c r="AD24" s="121">
        <f t="shared" si="6"/>
        <v>104.75</v>
      </c>
      <c r="AE24" s="121">
        <f t="shared" si="6"/>
        <v>0</v>
      </c>
      <c r="AF24" s="121">
        <f t="shared" si="6"/>
        <v>0</v>
      </c>
      <c r="AG24" s="121">
        <f t="shared" si="6"/>
        <v>0</v>
      </c>
      <c r="AH24" s="122">
        <f t="shared" si="6"/>
        <v>0</v>
      </c>
      <c r="AI24" s="145">
        <f t="shared" si="7"/>
        <v>0</v>
      </c>
      <c r="AJ24" s="121">
        <f t="shared" si="7"/>
        <v>0</v>
      </c>
      <c r="AK24" s="121">
        <f t="shared" si="7"/>
        <v>0</v>
      </c>
      <c r="AL24" s="121">
        <f t="shared" si="7"/>
        <v>0</v>
      </c>
      <c r="AM24" s="121">
        <f t="shared" si="7"/>
        <v>0</v>
      </c>
      <c r="AN24" s="121">
        <f t="shared" si="7"/>
        <v>0</v>
      </c>
      <c r="AO24" s="121">
        <f t="shared" si="7"/>
        <v>0</v>
      </c>
      <c r="AP24" s="121">
        <f t="shared" si="7"/>
        <v>0</v>
      </c>
      <c r="AQ24" s="121">
        <f t="shared" si="7"/>
        <v>0</v>
      </c>
      <c r="AR24" s="122">
        <f t="shared" si="7"/>
        <v>0</v>
      </c>
      <c r="AS24" s="145">
        <f t="shared" si="8"/>
        <v>0</v>
      </c>
      <c r="AT24" s="121">
        <f t="shared" si="8"/>
        <v>0</v>
      </c>
      <c r="AU24" s="121">
        <f t="shared" si="8"/>
        <v>0</v>
      </c>
      <c r="AV24" s="121">
        <f t="shared" si="8"/>
        <v>0</v>
      </c>
      <c r="AW24" s="121">
        <f t="shared" si="8"/>
        <v>0</v>
      </c>
      <c r="AX24" s="121">
        <f t="shared" si="8"/>
        <v>0</v>
      </c>
      <c r="AY24" s="121">
        <f t="shared" si="8"/>
        <v>0</v>
      </c>
      <c r="AZ24" s="121">
        <f t="shared" si="8"/>
        <v>0</v>
      </c>
      <c r="BA24" s="121">
        <f t="shared" si="8"/>
        <v>0</v>
      </c>
      <c r="BB24" s="122">
        <f t="shared" si="8"/>
        <v>0</v>
      </c>
      <c r="BC24" s="145">
        <f t="shared" si="27"/>
        <v>0</v>
      </c>
      <c r="BD24" s="192">
        <f t="shared" si="20"/>
        <v>104.75</v>
      </c>
      <c r="BE24" s="192">
        <f t="shared" si="21"/>
        <v>0</v>
      </c>
      <c r="BF24" s="192">
        <f t="shared" si="9"/>
        <v>99.512499999999989</v>
      </c>
      <c r="BG24" s="192">
        <f t="shared" si="22"/>
        <v>0</v>
      </c>
      <c r="BH24" s="192">
        <f t="shared" si="23"/>
        <v>0</v>
      </c>
      <c r="BI24" s="192">
        <f t="shared" si="23"/>
        <v>0</v>
      </c>
      <c r="BJ24" s="122"/>
      <c r="BK24" s="123"/>
      <c r="BM24" s="125">
        <f t="shared" si="10"/>
        <v>104.75</v>
      </c>
      <c r="BN24" s="125">
        <f t="shared" si="24"/>
        <v>0</v>
      </c>
    </row>
    <row r="25" spans="1:75" s="81" customFormat="1" ht="16.5" customHeight="1">
      <c r="A25" s="124" t="str">
        <f t="shared" si="11"/>
        <v>OK</v>
      </c>
      <c r="C25" s="259"/>
      <c r="D25" s="113"/>
      <c r="E25" s="114"/>
      <c r="F25" s="114">
        <f t="shared" ref="F25:F30" si="28">+F24</f>
        <v>350</v>
      </c>
      <c r="G25" s="263" t="str">
        <f t="shared" ref="G25:G30" si="29">+G24</f>
        <v>HD</v>
      </c>
      <c r="H25" s="115" t="str">
        <f t="shared" ref="H25:H30" si="30">+H24</f>
        <v>K-9</v>
      </c>
      <c r="I25" s="117">
        <f t="shared" ref="I25:I30" si="31">J24</f>
        <v>1083.69</v>
      </c>
      <c r="J25" s="116">
        <v>1100</v>
      </c>
      <c r="K25" s="117">
        <f t="shared" ref="K25:K30" si="32">+J25-I25</f>
        <v>16.309999999999945</v>
      </c>
      <c r="L25" s="118">
        <f t="shared" ref="L25:L30" si="33">+ROUND(K25*SQRT((M25/100)^2+1),2)</f>
        <v>16.32</v>
      </c>
      <c r="M25" s="116">
        <v>3.89</v>
      </c>
      <c r="N25" s="113" t="str">
        <f t="shared" si="26"/>
        <v>AF</v>
      </c>
      <c r="O25" s="115" t="str">
        <f t="shared" si="25"/>
        <v>N</v>
      </c>
      <c r="P25" s="238" t="str">
        <f t="shared" ref="P25:P30" si="34">+IF(O25="N",IF(X25&gt;1.75,"E",0),0)</f>
        <v>E</v>
      </c>
      <c r="Q25" s="238"/>
      <c r="R25" s="126">
        <f t="shared" ref="R25:R30" si="35">S24</f>
        <v>318.83</v>
      </c>
      <c r="S25" s="120">
        <v>318.89</v>
      </c>
      <c r="T25" s="126">
        <f t="shared" ref="T25:T30" si="36">U24</f>
        <v>316.29174</v>
      </c>
      <c r="U25" s="264">
        <f t="shared" ref="U25:U30" si="37">+T25+K25*M25/100</f>
        <v>316.926199</v>
      </c>
      <c r="V25" s="117">
        <f t="shared" si="18"/>
        <v>2.5382599999999798</v>
      </c>
      <c r="W25" s="118">
        <f t="shared" si="19"/>
        <v>1.9638009999999895</v>
      </c>
      <c r="X25" s="189">
        <f t="shared" ref="X25:X30" si="38">ROUND(AVERAGE(V25:W25),2)</f>
        <v>2.25</v>
      </c>
      <c r="Y25" s="145">
        <f t="shared" si="6"/>
        <v>0</v>
      </c>
      <c r="Z25" s="121">
        <f t="shared" si="6"/>
        <v>0</v>
      </c>
      <c r="AA25" s="121">
        <f t="shared" si="6"/>
        <v>0</v>
      </c>
      <c r="AB25" s="121">
        <f t="shared" si="6"/>
        <v>0</v>
      </c>
      <c r="AC25" s="121">
        <f t="shared" si="6"/>
        <v>0</v>
      </c>
      <c r="AD25" s="121">
        <f t="shared" si="6"/>
        <v>16.32</v>
      </c>
      <c r="AE25" s="121">
        <f t="shared" si="6"/>
        <v>0</v>
      </c>
      <c r="AF25" s="121">
        <f t="shared" si="6"/>
        <v>0</v>
      </c>
      <c r="AG25" s="121">
        <f t="shared" si="6"/>
        <v>0</v>
      </c>
      <c r="AH25" s="122">
        <f t="shared" si="6"/>
        <v>0</v>
      </c>
      <c r="AI25" s="145">
        <f t="shared" si="7"/>
        <v>0</v>
      </c>
      <c r="AJ25" s="121">
        <f t="shared" si="7"/>
        <v>0</v>
      </c>
      <c r="AK25" s="121">
        <f t="shared" si="7"/>
        <v>0</v>
      </c>
      <c r="AL25" s="121">
        <f t="shared" si="7"/>
        <v>0</v>
      </c>
      <c r="AM25" s="121">
        <f t="shared" si="7"/>
        <v>0</v>
      </c>
      <c r="AN25" s="121">
        <f t="shared" si="7"/>
        <v>0</v>
      </c>
      <c r="AO25" s="121">
        <f t="shared" si="7"/>
        <v>0</v>
      </c>
      <c r="AP25" s="121">
        <f t="shared" si="7"/>
        <v>0</v>
      </c>
      <c r="AQ25" s="121">
        <f t="shared" si="7"/>
        <v>0</v>
      </c>
      <c r="AR25" s="122">
        <f t="shared" si="7"/>
        <v>0</v>
      </c>
      <c r="AS25" s="145">
        <f t="shared" si="8"/>
        <v>0</v>
      </c>
      <c r="AT25" s="121">
        <f t="shared" si="8"/>
        <v>0</v>
      </c>
      <c r="AU25" s="121">
        <f t="shared" si="8"/>
        <v>0</v>
      </c>
      <c r="AV25" s="121">
        <f t="shared" si="8"/>
        <v>0</v>
      </c>
      <c r="AW25" s="121">
        <f t="shared" si="8"/>
        <v>0</v>
      </c>
      <c r="AX25" s="121">
        <f t="shared" si="8"/>
        <v>0</v>
      </c>
      <c r="AY25" s="121">
        <f t="shared" si="8"/>
        <v>0</v>
      </c>
      <c r="AZ25" s="121">
        <f t="shared" si="8"/>
        <v>0</v>
      </c>
      <c r="BA25" s="121">
        <f t="shared" si="8"/>
        <v>0</v>
      </c>
      <c r="BB25" s="122">
        <f t="shared" si="8"/>
        <v>0</v>
      </c>
      <c r="BC25" s="145">
        <f t="shared" ref="BC25:BC30" si="39">+IF(N25="SP",L25,0)</f>
        <v>0</v>
      </c>
      <c r="BD25" s="192">
        <f t="shared" ref="BD25:BD30" si="40">+IF(P25="E",L25,0)</f>
        <v>16.32</v>
      </c>
      <c r="BE25" s="192">
        <f t="shared" ref="BE25:BE30" si="41">+IF(Q25="A",L25,0)</f>
        <v>0</v>
      </c>
      <c r="BF25" s="192">
        <f t="shared" si="9"/>
        <v>15.504</v>
      </c>
      <c r="BG25" s="192">
        <f t="shared" si="22"/>
        <v>0</v>
      </c>
      <c r="BH25" s="192">
        <f t="shared" si="23"/>
        <v>0</v>
      </c>
      <c r="BI25" s="192">
        <f t="shared" si="23"/>
        <v>0</v>
      </c>
      <c r="BJ25" s="122"/>
      <c r="BK25" s="123"/>
      <c r="BM25" s="125">
        <f t="shared" ref="BM25:BM30" si="42">+IF(N25="AF",L25,0)</f>
        <v>16.32</v>
      </c>
      <c r="BN25" s="125">
        <f t="shared" ref="BN25:BN30" si="43">+IF(O25="SP",K25,0)</f>
        <v>0</v>
      </c>
    </row>
    <row r="26" spans="1:75" s="81" customFormat="1" ht="16.5" customHeight="1">
      <c r="A26" s="124" t="str">
        <f t="shared" si="11"/>
        <v>OK</v>
      </c>
      <c r="C26" s="259"/>
      <c r="D26" s="113"/>
      <c r="E26" s="114"/>
      <c r="F26" s="114">
        <f t="shared" si="28"/>
        <v>350</v>
      </c>
      <c r="G26" s="263" t="str">
        <f t="shared" si="29"/>
        <v>HD</v>
      </c>
      <c r="H26" s="115" t="str">
        <f t="shared" si="30"/>
        <v>K-9</v>
      </c>
      <c r="I26" s="117">
        <f t="shared" si="31"/>
        <v>1100</v>
      </c>
      <c r="J26" s="116">
        <v>1138.43</v>
      </c>
      <c r="K26" s="117">
        <f t="shared" si="32"/>
        <v>38.430000000000064</v>
      </c>
      <c r="L26" s="118">
        <f t="shared" si="33"/>
        <v>38.46</v>
      </c>
      <c r="M26" s="116">
        <v>3.89</v>
      </c>
      <c r="N26" s="113" t="str">
        <f t="shared" si="26"/>
        <v>AF</v>
      </c>
      <c r="O26" s="115" t="s">
        <v>4</v>
      </c>
      <c r="P26" s="238">
        <f t="shared" si="34"/>
        <v>0</v>
      </c>
      <c r="Q26" s="238"/>
      <c r="R26" s="126">
        <f t="shared" si="35"/>
        <v>318.89</v>
      </c>
      <c r="S26" s="120">
        <v>321.39999999999998</v>
      </c>
      <c r="T26" s="126">
        <f t="shared" si="36"/>
        <v>316.926199</v>
      </c>
      <c r="U26" s="264">
        <f t="shared" si="37"/>
        <v>318.42112600000002</v>
      </c>
      <c r="V26" s="117">
        <f t="shared" si="18"/>
        <v>1.9638009999999895</v>
      </c>
      <c r="W26" s="118">
        <f t="shared" si="19"/>
        <v>2.9788739999999621</v>
      </c>
      <c r="X26" s="189">
        <f t="shared" si="38"/>
        <v>2.4700000000000002</v>
      </c>
      <c r="Y26" s="145">
        <f t="shared" si="6"/>
        <v>0</v>
      </c>
      <c r="Z26" s="121">
        <f t="shared" si="6"/>
        <v>0</v>
      </c>
      <c r="AA26" s="121">
        <f t="shared" si="6"/>
        <v>0</v>
      </c>
      <c r="AB26" s="121">
        <f t="shared" si="6"/>
        <v>0</v>
      </c>
      <c r="AC26" s="121">
        <f t="shared" si="6"/>
        <v>0</v>
      </c>
      <c r="AD26" s="121">
        <f t="shared" si="6"/>
        <v>0</v>
      </c>
      <c r="AE26" s="121">
        <f t="shared" si="6"/>
        <v>0</v>
      </c>
      <c r="AF26" s="121">
        <f t="shared" si="6"/>
        <v>0</v>
      </c>
      <c r="AG26" s="121">
        <f t="shared" si="6"/>
        <v>0</v>
      </c>
      <c r="AH26" s="122">
        <f t="shared" si="6"/>
        <v>0</v>
      </c>
      <c r="AI26" s="145">
        <f t="shared" si="7"/>
        <v>0</v>
      </c>
      <c r="AJ26" s="121">
        <f t="shared" si="7"/>
        <v>0</v>
      </c>
      <c r="AK26" s="121">
        <f t="shared" si="7"/>
        <v>0</v>
      </c>
      <c r="AL26" s="121">
        <f t="shared" si="7"/>
        <v>0</v>
      </c>
      <c r="AM26" s="121">
        <f t="shared" si="7"/>
        <v>0</v>
      </c>
      <c r="AN26" s="121">
        <f t="shared" si="7"/>
        <v>0</v>
      </c>
      <c r="AO26" s="121">
        <f t="shared" si="7"/>
        <v>0</v>
      </c>
      <c r="AP26" s="121">
        <f t="shared" si="7"/>
        <v>0</v>
      </c>
      <c r="AQ26" s="121">
        <f t="shared" si="7"/>
        <v>0</v>
      </c>
      <c r="AR26" s="122">
        <f t="shared" si="7"/>
        <v>0</v>
      </c>
      <c r="AS26" s="145">
        <f t="shared" si="8"/>
        <v>0</v>
      </c>
      <c r="AT26" s="121">
        <f t="shared" si="8"/>
        <v>0</v>
      </c>
      <c r="AU26" s="121">
        <f t="shared" si="8"/>
        <v>0</v>
      </c>
      <c r="AV26" s="121">
        <f t="shared" si="8"/>
        <v>0</v>
      </c>
      <c r="AW26" s="121">
        <f t="shared" si="8"/>
        <v>0</v>
      </c>
      <c r="AX26" s="121">
        <f t="shared" si="8"/>
        <v>38.46</v>
      </c>
      <c r="AY26" s="121">
        <f t="shared" si="8"/>
        <v>0</v>
      </c>
      <c r="AZ26" s="121">
        <f t="shared" si="8"/>
        <v>0</v>
      </c>
      <c r="BA26" s="121">
        <f t="shared" si="8"/>
        <v>0</v>
      </c>
      <c r="BB26" s="122">
        <f t="shared" si="8"/>
        <v>0</v>
      </c>
      <c r="BC26" s="145">
        <f t="shared" si="39"/>
        <v>0</v>
      </c>
      <c r="BD26" s="192">
        <f t="shared" si="40"/>
        <v>0</v>
      </c>
      <c r="BE26" s="192">
        <f t="shared" si="41"/>
        <v>0</v>
      </c>
      <c r="BF26" s="192">
        <f t="shared" si="9"/>
        <v>36.536999999999999</v>
      </c>
      <c r="BG26" s="192">
        <f t="shared" si="22"/>
        <v>0</v>
      </c>
      <c r="BH26" s="192">
        <f t="shared" si="23"/>
        <v>0</v>
      </c>
      <c r="BI26" s="192">
        <f t="shared" si="23"/>
        <v>0</v>
      </c>
      <c r="BJ26" s="122"/>
      <c r="BK26" s="123"/>
      <c r="BM26" s="125">
        <f t="shared" si="42"/>
        <v>38.46</v>
      </c>
      <c r="BN26" s="125">
        <f t="shared" si="43"/>
        <v>0</v>
      </c>
    </row>
    <row r="27" spans="1:75" s="81" customFormat="1" ht="16.5" customHeight="1">
      <c r="A27" s="124" t="str">
        <f t="shared" si="11"/>
        <v>OK</v>
      </c>
      <c r="C27" s="259"/>
      <c r="D27" s="113"/>
      <c r="E27" s="114"/>
      <c r="F27" s="114">
        <f t="shared" si="28"/>
        <v>350</v>
      </c>
      <c r="G27" s="263" t="str">
        <f t="shared" si="29"/>
        <v>HD</v>
      </c>
      <c r="H27" s="115" t="str">
        <f t="shared" si="30"/>
        <v>K-9</v>
      </c>
      <c r="I27" s="117">
        <f t="shared" si="31"/>
        <v>1138.43</v>
      </c>
      <c r="J27" s="116">
        <f>+J26+1.57</f>
        <v>1140</v>
      </c>
      <c r="K27" s="117">
        <f t="shared" si="32"/>
        <v>1.5699999999999363</v>
      </c>
      <c r="L27" s="118">
        <f t="shared" si="33"/>
        <v>1.81</v>
      </c>
      <c r="M27" s="116">
        <v>56.78</v>
      </c>
      <c r="N27" s="113" t="str">
        <f t="shared" si="26"/>
        <v>AF</v>
      </c>
      <c r="O27" s="115" t="str">
        <f t="shared" si="25"/>
        <v>R</v>
      </c>
      <c r="P27" s="238">
        <f t="shared" si="34"/>
        <v>0</v>
      </c>
      <c r="Q27" s="238" t="s">
        <v>205</v>
      </c>
      <c r="R27" s="126">
        <f t="shared" si="35"/>
        <v>321.39999999999998</v>
      </c>
      <c r="S27" s="120">
        <v>321.45</v>
      </c>
      <c r="T27" s="126">
        <f t="shared" si="36"/>
        <v>318.42112600000002</v>
      </c>
      <c r="U27" s="264">
        <f t="shared" si="37"/>
        <v>319.31257199999999</v>
      </c>
      <c r="V27" s="117">
        <f t="shared" si="18"/>
        <v>2.9788739999999621</v>
      </c>
      <c r="W27" s="118">
        <f t="shared" si="19"/>
        <v>2.1374279999999999</v>
      </c>
      <c r="X27" s="189">
        <f t="shared" si="38"/>
        <v>2.56</v>
      </c>
      <c r="Y27" s="145">
        <f t="shared" si="6"/>
        <v>0</v>
      </c>
      <c r="Z27" s="121">
        <f t="shared" si="6"/>
        <v>0</v>
      </c>
      <c r="AA27" s="121">
        <f t="shared" si="6"/>
        <v>0</v>
      </c>
      <c r="AB27" s="121">
        <f t="shared" si="6"/>
        <v>0</v>
      </c>
      <c r="AC27" s="121">
        <f t="shared" si="6"/>
        <v>0</v>
      </c>
      <c r="AD27" s="121">
        <f t="shared" si="6"/>
        <v>0</v>
      </c>
      <c r="AE27" s="121">
        <f t="shared" si="6"/>
        <v>0</v>
      </c>
      <c r="AF27" s="121">
        <f t="shared" si="6"/>
        <v>0</v>
      </c>
      <c r="AG27" s="121">
        <f t="shared" si="6"/>
        <v>0</v>
      </c>
      <c r="AH27" s="122">
        <f t="shared" si="6"/>
        <v>0</v>
      </c>
      <c r="AI27" s="145">
        <f t="shared" si="7"/>
        <v>0</v>
      </c>
      <c r="AJ27" s="121">
        <f t="shared" si="7"/>
        <v>0</v>
      </c>
      <c r="AK27" s="121">
        <f t="shared" si="7"/>
        <v>0</v>
      </c>
      <c r="AL27" s="121">
        <f t="shared" si="7"/>
        <v>0</v>
      </c>
      <c r="AM27" s="121">
        <f t="shared" si="7"/>
        <v>0</v>
      </c>
      <c r="AN27" s="121">
        <f t="shared" si="7"/>
        <v>0</v>
      </c>
      <c r="AO27" s="121">
        <f t="shared" si="7"/>
        <v>0</v>
      </c>
      <c r="AP27" s="121">
        <f t="shared" si="7"/>
        <v>0</v>
      </c>
      <c r="AQ27" s="121">
        <f t="shared" si="7"/>
        <v>0</v>
      </c>
      <c r="AR27" s="122">
        <f t="shared" si="7"/>
        <v>0</v>
      </c>
      <c r="AS27" s="145">
        <f t="shared" si="8"/>
        <v>0</v>
      </c>
      <c r="AT27" s="121">
        <f t="shared" si="8"/>
        <v>0</v>
      </c>
      <c r="AU27" s="121">
        <f t="shared" si="8"/>
        <v>0</v>
      </c>
      <c r="AV27" s="121">
        <f t="shared" si="8"/>
        <v>0</v>
      </c>
      <c r="AW27" s="121">
        <f t="shared" si="8"/>
        <v>0</v>
      </c>
      <c r="AX27" s="121">
        <f t="shared" si="8"/>
        <v>0</v>
      </c>
      <c r="AY27" s="121">
        <f t="shared" si="8"/>
        <v>1.81</v>
      </c>
      <c r="AZ27" s="121">
        <f t="shared" si="8"/>
        <v>0</v>
      </c>
      <c r="BA27" s="121">
        <f t="shared" si="8"/>
        <v>0</v>
      </c>
      <c r="BB27" s="122">
        <f t="shared" si="8"/>
        <v>0</v>
      </c>
      <c r="BC27" s="145">
        <f t="shared" si="39"/>
        <v>0</v>
      </c>
      <c r="BD27" s="192">
        <f t="shared" si="40"/>
        <v>0</v>
      </c>
      <c r="BE27" s="192">
        <f>+IF(Q27="A",L27,0)</f>
        <v>1.81</v>
      </c>
      <c r="BF27" s="192">
        <f t="shared" si="9"/>
        <v>1.7195</v>
      </c>
      <c r="BG27" s="192">
        <f t="shared" si="22"/>
        <v>0</v>
      </c>
      <c r="BH27" s="192">
        <f t="shared" si="23"/>
        <v>0</v>
      </c>
      <c r="BI27" s="192">
        <f t="shared" si="23"/>
        <v>0</v>
      </c>
      <c r="BJ27" s="122"/>
      <c r="BK27" s="123"/>
      <c r="BM27" s="125">
        <f t="shared" si="42"/>
        <v>1.81</v>
      </c>
      <c r="BN27" s="125">
        <f t="shared" si="43"/>
        <v>0</v>
      </c>
    </row>
    <row r="28" spans="1:75" s="81" customFormat="1" ht="16.5" customHeight="1">
      <c r="A28" s="124" t="str">
        <f t="shared" si="11"/>
        <v>OK</v>
      </c>
      <c r="C28" s="259"/>
      <c r="D28" s="113"/>
      <c r="E28" s="114"/>
      <c r="F28" s="114">
        <f t="shared" si="28"/>
        <v>350</v>
      </c>
      <c r="G28" s="263" t="str">
        <f t="shared" si="29"/>
        <v>HD</v>
      </c>
      <c r="H28" s="115" t="str">
        <f t="shared" si="30"/>
        <v>K-9</v>
      </c>
      <c r="I28" s="117">
        <f t="shared" si="31"/>
        <v>1140</v>
      </c>
      <c r="J28" s="116">
        <v>1185.17</v>
      </c>
      <c r="K28" s="117">
        <f t="shared" si="32"/>
        <v>45.170000000000073</v>
      </c>
      <c r="L28" s="118">
        <f t="shared" si="33"/>
        <v>51.94</v>
      </c>
      <c r="M28" s="116">
        <v>56.78</v>
      </c>
      <c r="N28" s="113" t="s">
        <v>216</v>
      </c>
      <c r="O28" s="115" t="str">
        <f t="shared" si="25"/>
        <v>R</v>
      </c>
      <c r="P28" s="238">
        <f t="shared" si="34"/>
        <v>0</v>
      </c>
      <c r="Q28" s="238" t="s">
        <v>205</v>
      </c>
      <c r="R28" s="126">
        <f t="shared" si="35"/>
        <v>321.45</v>
      </c>
      <c r="S28" s="120">
        <v>345.77</v>
      </c>
      <c r="T28" s="126">
        <f t="shared" si="36"/>
        <v>319.31257199999999</v>
      </c>
      <c r="U28" s="264">
        <f t="shared" si="37"/>
        <v>344.96009800000002</v>
      </c>
      <c r="V28" s="117">
        <f t="shared" si="18"/>
        <v>2.1374279999999999</v>
      </c>
      <c r="W28" s="118">
        <f t="shared" si="19"/>
        <v>0.80990199999996548</v>
      </c>
      <c r="X28" s="189">
        <f t="shared" si="38"/>
        <v>1.47</v>
      </c>
      <c r="Y28" s="145">
        <f t="shared" si="6"/>
        <v>0</v>
      </c>
      <c r="Z28" s="121">
        <f t="shared" si="6"/>
        <v>0</v>
      </c>
      <c r="AA28" s="121">
        <f t="shared" si="6"/>
        <v>0</v>
      </c>
      <c r="AB28" s="121">
        <f t="shared" si="6"/>
        <v>0</v>
      </c>
      <c r="AC28" s="121">
        <f t="shared" si="6"/>
        <v>0</v>
      </c>
      <c r="AD28" s="121">
        <f t="shared" si="6"/>
        <v>0</v>
      </c>
      <c r="AE28" s="121">
        <f t="shared" si="6"/>
        <v>0</v>
      </c>
      <c r="AF28" s="121">
        <f t="shared" si="6"/>
        <v>0</v>
      </c>
      <c r="AG28" s="121">
        <f t="shared" si="6"/>
        <v>0</v>
      </c>
      <c r="AH28" s="122">
        <f t="shared" si="6"/>
        <v>0</v>
      </c>
      <c r="AI28" s="145">
        <f t="shared" si="7"/>
        <v>0</v>
      </c>
      <c r="AJ28" s="121">
        <f t="shared" si="7"/>
        <v>0</v>
      </c>
      <c r="AK28" s="121">
        <f t="shared" si="7"/>
        <v>0</v>
      </c>
      <c r="AL28" s="121">
        <f t="shared" si="7"/>
        <v>0</v>
      </c>
      <c r="AM28" s="121">
        <f t="shared" si="7"/>
        <v>0</v>
      </c>
      <c r="AN28" s="121">
        <f t="shared" si="7"/>
        <v>0</v>
      </c>
      <c r="AO28" s="121">
        <f t="shared" si="7"/>
        <v>0</v>
      </c>
      <c r="AP28" s="121">
        <f t="shared" si="7"/>
        <v>0</v>
      </c>
      <c r="AQ28" s="121">
        <f t="shared" si="7"/>
        <v>0</v>
      </c>
      <c r="AR28" s="122">
        <f t="shared" si="7"/>
        <v>0</v>
      </c>
      <c r="AS28" s="145">
        <f t="shared" si="8"/>
        <v>0</v>
      </c>
      <c r="AT28" s="121">
        <f t="shared" si="8"/>
        <v>0</v>
      </c>
      <c r="AU28" s="121">
        <f t="shared" si="8"/>
        <v>51.94</v>
      </c>
      <c r="AV28" s="121">
        <f t="shared" si="8"/>
        <v>0</v>
      </c>
      <c r="AW28" s="121">
        <f t="shared" si="8"/>
        <v>0</v>
      </c>
      <c r="AX28" s="121">
        <f t="shared" si="8"/>
        <v>0</v>
      </c>
      <c r="AY28" s="121">
        <f t="shared" si="8"/>
        <v>0</v>
      </c>
      <c r="AZ28" s="121">
        <f t="shared" si="8"/>
        <v>0</v>
      </c>
      <c r="BA28" s="121">
        <f t="shared" si="8"/>
        <v>0</v>
      </c>
      <c r="BB28" s="122">
        <f t="shared" si="8"/>
        <v>0</v>
      </c>
      <c r="BC28" s="145">
        <f t="shared" si="39"/>
        <v>51.94</v>
      </c>
      <c r="BD28" s="192">
        <f t="shared" si="40"/>
        <v>0</v>
      </c>
      <c r="BE28" s="192">
        <f t="shared" si="41"/>
        <v>51.94</v>
      </c>
      <c r="BF28" s="192">
        <f t="shared" si="9"/>
        <v>0</v>
      </c>
      <c r="BG28" s="192">
        <f t="shared" si="22"/>
        <v>0</v>
      </c>
      <c r="BH28" s="192">
        <f t="shared" si="23"/>
        <v>0</v>
      </c>
      <c r="BI28" s="192">
        <f t="shared" si="23"/>
        <v>0</v>
      </c>
      <c r="BJ28" s="122"/>
      <c r="BK28" s="123"/>
      <c r="BM28" s="125">
        <f t="shared" si="42"/>
        <v>0</v>
      </c>
      <c r="BN28" s="125">
        <f t="shared" si="43"/>
        <v>0</v>
      </c>
    </row>
    <row r="29" spans="1:75" s="81" customFormat="1" ht="16.5" customHeight="1">
      <c r="A29" s="124" t="str">
        <f t="shared" si="11"/>
        <v>OK</v>
      </c>
      <c r="C29" s="259"/>
      <c r="D29" s="113"/>
      <c r="E29" s="114"/>
      <c r="F29" s="114">
        <f t="shared" si="28"/>
        <v>350</v>
      </c>
      <c r="G29" s="263" t="str">
        <f t="shared" si="29"/>
        <v>HD</v>
      </c>
      <c r="H29" s="115" t="str">
        <f t="shared" si="30"/>
        <v>K-9</v>
      </c>
      <c r="I29" s="117">
        <f t="shared" si="31"/>
        <v>1185.17</v>
      </c>
      <c r="J29" s="116">
        <v>1196.83</v>
      </c>
      <c r="K29" s="117">
        <f t="shared" si="32"/>
        <v>11.659999999999854</v>
      </c>
      <c r="L29" s="118">
        <f t="shared" si="33"/>
        <v>11.71</v>
      </c>
      <c r="M29" s="116">
        <v>9</v>
      </c>
      <c r="N29" s="113" t="str">
        <f t="shared" si="26"/>
        <v>SP</v>
      </c>
      <c r="O29" s="115" t="str">
        <f t="shared" si="25"/>
        <v>R</v>
      </c>
      <c r="P29" s="238">
        <f t="shared" si="34"/>
        <v>0</v>
      </c>
      <c r="Q29" s="238" t="s">
        <v>205</v>
      </c>
      <c r="R29" s="126">
        <f t="shared" si="35"/>
        <v>345.77</v>
      </c>
      <c r="S29" s="120">
        <v>347.24</v>
      </c>
      <c r="T29" s="126">
        <f t="shared" si="36"/>
        <v>344.96009800000002</v>
      </c>
      <c r="U29" s="264">
        <v>346</v>
      </c>
      <c r="V29" s="117">
        <f t="shared" si="18"/>
        <v>0.80990199999996548</v>
      </c>
      <c r="W29" s="118">
        <f t="shared" si="19"/>
        <v>1.2400000000000091</v>
      </c>
      <c r="X29" s="189">
        <f t="shared" si="38"/>
        <v>1.02</v>
      </c>
      <c r="Y29" s="145">
        <f t="shared" si="6"/>
        <v>0</v>
      </c>
      <c r="Z29" s="121">
        <f t="shared" si="6"/>
        <v>0</v>
      </c>
      <c r="AA29" s="121">
        <f t="shared" si="6"/>
        <v>0</v>
      </c>
      <c r="AB29" s="121">
        <f t="shared" si="6"/>
        <v>0</v>
      </c>
      <c r="AC29" s="121">
        <f t="shared" si="6"/>
        <v>0</v>
      </c>
      <c r="AD29" s="121">
        <f t="shared" si="6"/>
        <v>0</v>
      </c>
      <c r="AE29" s="121">
        <f t="shared" si="6"/>
        <v>0</v>
      </c>
      <c r="AF29" s="121">
        <f t="shared" si="6"/>
        <v>0</v>
      </c>
      <c r="AG29" s="121">
        <f t="shared" si="6"/>
        <v>0</v>
      </c>
      <c r="AH29" s="122">
        <f t="shared" si="6"/>
        <v>0</v>
      </c>
      <c r="AI29" s="145">
        <f t="shared" si="7"/>
        <v>0</v>
      </c>
      <c r="AJ29" s="121">
        <f t="shared" si="7"/>
        <v>0</v>
      </c>
      <c r="AK29" s="121">
        <f t="shared" si="7"/>
        <v>0</v>
      </c>
      <c r="AL29" s="121">
        <f t="shared" si="7"/>
        <v>0</v>
      </c>
      <c r="AM29" s="121">
        <f t="shared" si="7"/>
        <v>0</v>
      </c>
      <c r="AN29" s="121">
        <f t="shared" si="7"/>
        <v>0</v>
      </c>
      <c r="AO29" s="121">
        <f t="shared" si="7"/>
        <v>0</v>
      </c>
      <c r="AP29" s="121">
        <f t="shared" si="7"/>
        <v>0</v>
      </c>
      <c r="AQ29" s="121">
        <f t="shared" si="7"/>
        <v>0</v>
      </c>
      <c r="AR29" s="122">
        <f t="shared" si="7"/>
        <v>0</v>
      </c>
      <c r="AS29" s="145">
        <f t="shared" si="8"/>
        <v>0</v>
      </c>
      <c r="AT29" s="121">
        <f t="shared" si="8"/>
        <v>11.71</v>
      </c>
      <c r="AU29" s="121">
        <f t="shared" si="8"/>
        <v>0</v>
      </c>
      <c r="AV29" s="121">
        <f t="shared" si="8"/>
        <v>0</v>
      </c>
      <c r="AW29" s="121">
        <f t="shared" si="8"/>
        <v>0</v>
      </c>
      <c r="AX29" s="121">
        <f t="shared" si="8"/>
        <v>0</v>
      </c>
      <c r="AY29" s="121">
        <f t="shared" si="8"/>
        <v>0</v>
      </c>
      <c r="AZ29" s="121">
        <f t="shared" si="8"/>
        <v>0</v>
      </c>
      <c r="BA29" s="121">
        <f t="shared" si="8"/>
        <v>0</v>
      </c>
      <c r="BB29" s="122">
        <f t="shared" si="8"/>
        <v>0</v>
      </c>
      <c r="BC29" s="145">
        <f t="shared" si="39"/>
        <v>11.71</v>
      </c>
      <c r="BD29" s="192">
        <f t="shared" si="40"/>
        <v>0</v>
      </c>
      <c r="BE29" s="192">
        <f t="shared" si="41"/>
        <v>11.71</v>
      </c>
      <c r="BF29" s="192">
        <f t="shared" si="9"/>
        <v>0</v>
      </c>
      <c r="BG29" s="192">
        <f t="shared" si="22"/>
        <v>0</v>
      </c>
      <c r="BH29" s="192">
        <f t="shared" si="23"/>
        <v>0</v>
      </c>
      <c r="BI29" s="192">
        <f t="shared" si="23"/>
        <v>0</v>
      </c>
      <c r="BJ29" s="122"/>
      <c r="BK29" s="123"/>
      <c r="BM29" s="125">
        <f t="shared" si="42"/>
        <v>0</v>
      </c>
      <c r="BN29" s="125">
        <f t="shared" si="43"/>
        <v>0</v>
      </c>
    </row>
    <row r="30" spans="1:75" s="81" customFormat="1" ht="16.5" customHeight="1">
      <c r="A30" s="124" t="str">
        <f t="shared" si="11"/>
        <v>OK</v>
      </c>
      <c r="C30" s="259"/>
      <c r="D30" s="113"/>
      <c r="E30" s="114"/>
      <c r="F30" s="114">
        <f t="shared" si="28"/>
        <v>350</v>
      </c>
      <c r="G30" s="263" t="str">
        <f t="shared" si="29"/>
        <v>HD</v>
      </c>
      <c r="H30" s="115" t="str">
        <f t="shared" si="30"/>
        <v>K-9</v>
      </c>
      <c r="I30" s="117">
        <f t="shared" si="31"/>
        <v>1196.83</v>
      </c>
      <c r="J30" s="116">
        <v>1202.56</v>
      </c>
      <c r="K30" s="117">
        <f t="shared" si="32"/>
        <v>5.7300000000000182</v>
      </c>
      <c r="L30" s="118">
        <f t="shared" si="33"/>
        <v>5.73</v>
      </c>
      <c r="M30" s="116">
        <v>0</v>
      </c>
      <c r="N30" s="113" t="str">
        <f t="shared" si="26"/>
        <v>SP</v>
      </c>
      <c r="O30" s="115" t="str">
        <f t="shared" si="25"/>
        <v>R</v>
      </c>
      <c r="P30" s="238">
        <f t="shared" si="34"/>
        <v>0</v>
      </c>
      <c r="Q30" s="238" t="s">
        <v>205</v>
      </c>
      <c r="R30" s="126">
        <f t="shared" si="35"/>
        <v>347.24</v>
      </c>
      <c r="S30" s="120">
        <v>344.3</v>
      </c>
      <c r="T30" s="126">
        <f t="shared" si="36"/>
        <v>346</v>
      </c>
      <c r="U30" s="264">
        <f t="shared" si="37"/>
        <v>346</v>
      </c>
      <c r="V30" s="117">
        <f t="shared" si="18"/>
        <v>1.2400000000000091</v>
      </c>
      <c r="W30" s="118">
        <f t="shared" si="19"/>
        <v>0</v>
      </c>
      <c r="X30" s="189">
        <f t="shared" si="38"/>
        <v>0.62</v>
      </c>
      <c r="Y30" s="145">
        <f t="shared" si="6"/>
        <v>0</v>
      </c>
      <c r="Z30" s="121">
        <f t="shared" si="6"/>
        <v>0</v>
      </c>
      <c r="AA30" s="121">
        <f t="shared" si="6"/>
        <v>0</v>
      </c>
      <c r="AB30" s="121">
        <f t="shared" si="6"/>
        <v>0</v>
      </c>
      <c r="AC30" s="121">
        <f t="shared" si="6"/>
        <v>0</v>
      </c>
      <c r="AD30" s="121">
        <f t="shared" si="6"/>
        <v>0</v>
      </c>
      <c r="AE30" s="121">
        <f t="shared" si="6"/>
        <v>0</v>
      </c>
      <c r="AF30" s="121">
        <f t="shared" si="6"/>
        <v>0</v>
      </c>
      <c r="AG30" s="121">
        <f t="shared" si="6"/>
        <v>0</v>
      </c>
      <c r="AH30" s="122">
        <f t="shared" si="6"/>
        <v>0</v>
      </c>
      <c r="AI30" s="145">
        <f t="shared" si="7"/>
        <v>0</v>
      </c>
      <c r="AJ30" s="121">
        <f t="shared" si="7"/>
        <v>0</v>
      </c>
      <c r="AK30" s="121">
        <f t="shared" si="7"/>
        <v>0</v>
      </c>
      <c r="AL30" s="121">
        <f t="shared" si="7"/>
        <v>0</v>
      </c>
      <c r="AM30" s="121">
        <f t="shared" si="7"/>
        <v>0</v>
      </c>
      <c r="AN30" s="121">
        <f t="shared" si="7"/>
        <v>0</v>
      </c>
      <c r="AO30" s="121">
        <f t="shared" si="7"/>
        <v>0</v>
      </c>
      <c r="AP30" s="121">
        <f t="shared" si="7"/>
        <v>0</v>
      </c>
      <c r="AQ30" s="121">
        <f t="shared" si="7"/>
        <v>0</v>
      </c>
      <c r="AR30" s="122">
        <f t="shared" si="7"/>
        <v>0</v>
      </c>
      <c r="AS30" s="145">
        <f t="shared" si="8"/>
        <v>5.73</v>
      </c>
      <c r="AT30" s="121">
        <f t="shared" si="8"/>
        <v>0</v>
      </c>
      <c r="AU30" s="121">
        <f t="shared" si="8"/>
        <v>0</v>
      </c>
      <c r="AV30" s="121">
        <f t="shared" si="8"/>
        <v>0</v>
      </c>
      <c r="AW30" s="121">
        <f t="shared" si="8"/>
        <v>0</v>
      </c>
      <c r="AX30" s="121">
        <f t="shared" si="8"/>
        <v>0</v>
      </c>
      <c r="AY30" s="121">
        <f t="shared" si="8"/>
        <v>0</v>
      </c>
      <c r="AZ30" s="121">
        <f t="shared" si="8"/>
        <v>0</v>
      </c>
      <c r="BA30" s="121">
        <f t="shared" si="8"/>
        <v>0</v>
      </c>
      <c r="BB30" s="122">
        <f t="shared" si="8"/>
        <v>0</v>
      </c>
      <c r="BC30" s="145">
        <f t="shared" si="39"/>
        <v>5.73</v>
      </c>
      <c r="BD30" s="192">
        <f t="shared" si="40"/>
        <v>0</v>
      </c>
      <c r="BE30" s="192">
        <f t="shared" si="41"/>
        <v>5.73</v>
      </c>
      <c r="BF30" s="192">
        <f t="shared" si="9"/>
        <v>0</v>
      </c>
      <c r="BG30" s="192">
        <f t="shared" si="22"/>
        <v>0</v>
      </c>
      <c r="BH30" s="192">
        <f t="shared" si="23"/>
        <v>0</v>
      </c>
      <c r="BI30" s="192">
        <f t="shared" si="23"/>
        <v>0</v>
      </c>
      <c r="BJ30" s="122"/>
      <c r="BK30" s="123"/>
      <c r="BM30" s="125">
        <f t="shared" si="42"/>
        <v>0</v>
      </c>
      <c r="BN30" s="125">
        <f t="shared" si="43"/>
        <v>0</v>
      </c>
    </row>
    <row r="31" spans="1:75" s="81" customFormat="1" ht="16.5" customHeight="1">
      <c r="A31" s="124" t="e">
        <f t="shared" si="11"/>
        <v>#REF!</v>
      </c>
      <c r="C31" s="274"/>
      <c r="D31" s="113"/>
      <c r="E31" s="114"/>
      <c r="F31" s="179"/>
      <c r="G31" s="179"/>
      <c r="H31" s="180"/>
      <c r="I31" s="181"/>
      <c r="J31" s="182"/>
      <c r="K31" s="203"/>
      <c r="L31" s="204">
        <f>SUM(L14:L30)</f>
        <v>1210.5900000000001</v>
      </c>
      <c r="M31" s="276"/>
      <c r="N31" s="204"/>
      <c r="O31" s="180"/>
      <c r="P31" s="239"/>
      <c r="Q31" s="239"/>
      <c r="R31" s="185"/>
      <c r="S31" s="186"/>
      <c r="T31" s="185"/>
      <c r="U31" s="182"/>
      <c r="V31" s="181"/>
      <c r="W31" s="183"/>
      <c r="X31" s="190"/>
      <c r="Y31" s="220">
        <f>SUM(Y14:Y30)</f>
        <v>0</v>
      </c>
      <c r="Z31" s="221">
        <f>SUM(Z14:Z30)</f>
        <v>3.21</v>
      </c>
      <c r="AA31" s="221">
        <f t="shared" ref="AA31:AG31" si="44">SUM(AA14:AA30)</f>
        <v>0</v>
      </c>
      <c r="AB31" s="221">
        <f t="shared" si="44"/>
        <v>0</v>
      </c>
      <c r="AC31" s="221">
        <f t="shared" si="44"/>
        <v>0</v>
      </c>
      <c r="AD31" s="221">
        <f t="shared" si="44"/>
        <v>724.06000000000006</v>
      </c>
      <c r="AE31" s="221">
        <f t="shared" si="44"/>
        <v>373.27</v>
      </c>
      <c r="AF31" s="221">
        <f t="shared" si="44"/>
        <v>0</v>
      </c>
      <c r="AG31" s="221">
        <f t="shared" si="44"/>
        <v>0</v>
      </c>
      <c r="AH31" s="222">
        <f>SUM(AH14:AH30)</f>
        <v>0</v>
      </c>
      <c r="AI31" s="226" t="e">
        <f>SUM(#REF!)</f>
        <v>#REF!</v>
      </c>
      <c r="AJ31" s="227" t="e">
        <f>SUM(#REF!)</f>
        <v>#REF!</v>
      </c>
      <c r="AK31" s="227" t="e">
        <f>SUM(#REF!)</f>
        <v>#REF!</v>
      </c>
      <c r="AL31" s="227" t="e">
        <f>SUM(#REF!)</f>
        <v>#REF!</v>
      </c>
      <c r="AM31" s="227" t="e">
        <f>SUM(#REF!)</f>
        <v>#REF!</v>
      </c>
      <c r="AN31" s="227" t="e">
        <f>SUM(#REF!)</f>
        <v>#REF!</v>
      </c>
      <c r="AO31" s="227" t="e">
        <f>SUM(#REF!)</f>
        <v>#REF!</v>
      </c>
      <c r="AP31" s="227" t="e">
        <f>SUM(#REF!)</f>
        <v>#REF!</v>
      </c>
      <c r="AQ31" s="227" t="e">
        <f>SUM(#REF!)</f>
        <v>#REF!</v>
      </c>
      <c r="AR31" s="228" t="e">
        <f>SUM(#REF!)</f>
        <v>#REF!</v>
      </c>
      <c r="AS31" s="271">
        <f>SUM(AS14:AS30)</f>
        <v>5.73</v>
      </c>
      <c r="AT31" s="272">
        <f>SUM(AT14:AT30)</f>
        <v>11.71</v>
      </c>
      <c r="AU31" s="272">
        <f t="shared" ref="AU31" si="45">SUM(AU14:AU30)</f>
        <v>51.94</v>
      </c>
      <c r="AV31" s="272">
        <f t="shared" ref="AV31" si="46">SUM(AV14:AV30)</f>
        <v>0</v>
      </c>
      <c r="AW31" s="272">
        <f t="shared" ref="AW31" si="47">SUM(AW14:AW30)</f>
        <v>0</v>
      </c>
      <c r="AX31" s="272">
        <f t="shared" ref="AX31" si="48">SUM(AX14:AX30)</f>
        <v>38.46</v>
      </c>
      <c r="AY31" s="272">
        <f t="shared" ref="AY31" si="49">SUM(AY14:AY30)</f>
        <v>1.81</v>
      </c>
      <c r="AZ31" s="272">
        <f t="shared" ref="AZ31" si="50">SUM(AZ14:AZ30)</f>
        <v>0</v>
      </c>
      <c r="BA31" s="272">
        <f t="shared" ref="BA31" si="51">SUM(BA14:BA30)</f>
        <v>0</v>
      </c>
      <c r="BB31" s="273">
        <f>SUM(BB14:BB30)</f>
        <v>0</v>
      </c>
      <c r="BC31" s="223">
        <f>SUM(BC14:BC30)</f>
        <v>69.78</v>
      </c>
      <c r="BD31" s="224">
        <f>SUM(BD14:BD30)</f>
        <v>1097.33</v>
      </c>
      <c r="BE31" s="224">
        <f t="shared" ref="BE31:BH31" si="52">SUM(BE14:BE30)</f>
        <v>71.190000000000012</v>
      </c>
      <c r="BF31" s="224">
        <f t="shared" si="52"/>
        <v>1076.635</v>
      </c>
      <c r="BG31" s="224">
        <f t="shared" si="52"/>
        <v>0</v>
      </c>
      <c r="BH31" s="224">
        <f t="shared" si="52"/>
        <v>0</v>
      </c>
      <c r="BI31" s="224">
        <f>SUM(BI14:BI30)</f>
        <v>16.215499999999999</v>
      </c>
      <c r="BJ31" s="225">
        <f>SUM(BJ14:BJ30)</f>
        <v>0</v>
      </c>
      <c r="BK31" s="123"/>
      <c r="BM31" s="125"/>
      <c r="BN31" s="125"/>
    </row>
    <row r="32" spans="1:75" s="81" customFormat="1" ht="16.5" customHeight="1">
      <c r="A32" s="124" t="str">
        <f t="shared" si="11"/>
        <v>OK</v>
      </c>
      <c r="C32" s="274"/>
      <c r="D32" s="113"/>
      <c r="E32" s="114"/>
      <c r="F32" s="114">
        <v>300</v>
      </c>
      <c r="G32" s="263" t="str">
        <f>+G24</f>
        <v>HD</v>
      </c>
      <c r="H32" s="115" t="str">
        <f>+H24</f>
        <v>K-9</v>
      </c>
      <c r="I32" s="117">
        <v>1.0000000000000001E-5</v>
      </c>
      <c r="J32" s="116">
        <v>97.36</v>
      </c>
      <c r="K32" s="117">
        <f t="shared" si="14"/>
        <v>97.359989999999996</v>
      </c>
      <c r="L32" s="118">
        <f t="shared" si="15"/>
        <v>97.36</v>
      </c>
      <c r="M32" s="116">
        <v>0</v>
      </c>
      <c r="N32" s="113" t="s">
        <v>218</v>
      </c>
      <c r="O32" s="115" t="s">
        <v>3</v>
      </c>
      <c r="P32" s="238" t="str">
        <f t="shared" si="3"/>
        <v>E</v>
      </c>
      <c r="Q32" s="238"/>
      <c r="R32" s="119">
        <v>303.69</v>
      </c>
      <c r="S32" s="120">
        <v>303.58999999999997</v>
      </c>
      <c r="T32" s="119">
        <v>301.08999999999997</v>
      </c>
      <c r="U32" s="264">
        <f t="shared" si="4"/>
        <v>301.08999999999997</v>
      </c>
      <c r="V32" s="117">
        <f t="shared" ref="V32:V53" si="53">IF((R32-T32)&lt;0,0,R32-T32)</f>
        <v>2.6000000000000227</v>
      </c>
      <c r="W32" s="118">
        <f t="shared" ref="W32:W53" si="54">IF((S32-U32)&lt;0,0,S32-U32)</f>
        <v>2.5</v>
      </c>
      <c r="X32" s="189">
        <f t="shared" si="5"/>
        <v>2.5499999999999998</v>
      </c>
      <c r="Y32" s="145">
        <f t="shared" si="6"/>
        <v>0</v>
      </c>
      <c r="Z32" s="121">
        <f t="shared" si="6"/>
        <v>0</v>
      </c>
      <c r="AA32" s="121">
        <f t="shared" si="6"/>
        <v>0</v>
      </c>
      <c r="AB32" s="121">
        <f t="shared" si="6"/>
        <v>0</v>
      </c>
      <c r="AC32" s="121">
        <f t="shared" si="6"/>
        <v>0</v>
      </c>
      <c r="AD32" s="121">
        <f t="shared" si="6"/>
        <v>0</v>
      </c>
      <c r="AE32" s="121">
        <f t="shared" si="6"/>
        <v>97.36</v>
      </c>
      <c r="AF32" s="121">
        <f t="shared" si="6"/>
        <v>0</v>
      </c>
      <c r="AG32" s="121">
        <f t="shared" si="6"/>
        <v>0</v>
      </c>
      <c r="AH32" s="122">
        <f t="shared" si="6"/>
        <v>0</v>
      </c>
      <c r="AI32" s="145">
        <f t="shared" si="7"/>
        <v>0</v>
      </c>
      <c r="AJ32" s="121">
        <f t="shared" si="7"/>
        <v>0</v>
      </c>
      <c r="AK32" s="121">
        <f t="shared" si="7"/>
        <v>0</v>
      </c>
      <c r="AL32" s="121">
        <f t="shared" si="7"/>
        <v>0</v>
      </c>
      <c r="AM32" s="121">
        <f t="shared" si="7"/>
        <v>0</v>
      </c>
      <c r="AN32" s="121">
        <f t="shared" si="7"/>
        <v>0</v>
      </c>
      <c r="AO32" s="121">
        <f t="shared" si="7"/>
        <v>0</v>
      </c>
      <c r="AP32" s="121">
        <f t="shared" si="7"/>
        <v>0</v>
      </c>
      <c r="AQ32" s="121">
        <f t="shared" si="7"/>
        <v>0</v>
      </c>
      <c r="AR32" s="122">
        <f t="shared" si="7"/>
        <v>0</v>
      </c>
      <c r="AS32" s="145">
        <f t="shared" si="8"/>
        <v>0</v>
      </c>
      <c r="AT32" s="121">
        <f t="shared" si="8"/>
        <v>0</v>
      </c>
      <c r="AU32" s="121">
        <f t="shared" si="8"/>
        <v>0</v>
      </c>
      <c r="AV32" s="121">
        <f t="shared" si="8"/>
        <v>0</v>
      </c>
      <c r="AW32" s="121">
        <f t="shared" si="8"/>
        <v>0</v>
      </c>
      <c r="AX32" s="121">
        <f t="shared" si="8"/>
        <v>0</v>
      </c>
      <c r="AY32" s="121">
        <f t="shared" si="8"/>
        <v>0</v>
      </c>
      <c r="AZ32" s="121">
        <f t="shared" si="8"/>
        <v>0</v>
      </c>
      <c r="BA32" s="121">
        <f t="shared" si="8"/>
        <v>0</v>
      </c>
      <c r="BB32" s="122">
        <f t="shared" si="8"/>
        <v>0</v>
      </c>
      <c r="BC32" s="145">
        <f t="shared" si="27"/>
        <v>0</v>
      </c>
      <c r="BD32" s="192">
        <f t="shared" si="20"/>
        <v>97.36</v>
      </c>
      <c r="BE32" s="192">
        <f t="shared" si="21"/>
        <v>0</v>
      </c>
      <c r="BF32" s="192">
        <f t="shared" si="9"/>
        <v>87.623999999999995</v>
      </c>
      <c r="BG32" s="192">
        <f t="shared" si="22"/>
        <v>0</v>
      </c>
      <c r="BH32" s="192">
        <f t="shared" si="23"/>
        <v>0</v>
      </c>
      <c r="BI32" s="192">
        <f t="shared" ref="BI32:BI53" si="55">+IF($N32=BI$12,$L32*($F32/1000+1.7),0)</f>
        <v>0</v>
      </c>
      <c r="BJ32" s="122"/>
      <c r="BK32" s="123"/>
      <c r="BM32" s="125">
        <f t="shared" si="10"/>
        <v>97.36</v>
      </c>
      <c r="BN32" s="125">
        <f t="shared" si="24"/>
        <v>0</v>
      </c>
    </row>
    <row r="33" spans="1:66" s="81" customFormat="1" ht="16.5" customHeight="1">
      <c r="A33" s="124" t="str">
        <f t="shared" si="11"/>
        <v>OK</v>
      </c>
      <c r="C33" s="274"/>
      <c r="D33" s="113"/>
      <c r="E33" s="114"/>
      <c r="F33" s="114">
        <f t="shared" si="12"/>
        <v>300</v>
      </c>
      <c r="G33" s="263" t="str">
        <f t="shared" si="12"/>
        <v>HD</v>
      </c>
      <c r="H33" s="115" t="str">
        <f t="shared" si="12"/>
        <v>K-9</v>
      </c>
      <c r="I33" s="117">
        <f t="shared" si="13"/>
        <v>97.36</v>
      </c>
      <c r="J33" s="116">
        <v>205.52</v>
      </c>
      <c r="K33" s="117">
        <f t="shared" si="14"/>
        <v>108.16000000000001</v>
      </c>
      <c r="L33" s="118">
        <f t="shared" si="15"/>
        <v>108.2</v>
      </c>
      <c r="M33" s="116">
        <v>-2.73</v>
      </c>
      <c r="N33" s="113" t="str">
        <f>+N32</f>
        <v>AF</v>
      </c>
      <c r="O33" s="115" t="str">
        <f>+O32</f>
        <v>N</v>
      </c>
      <c r="P33" s="238" t="str">
        <f>+IF(O33="N",IF(X33&gt;1.75,"E",0),0)</f>
        <v>E</v>
      </c>
      <c r="Q33" s="238"/>
      <c r="R33" s="126">
        <f t="shared" si="16"/>
        <v>303.58999999999997</v>
      </c>
      <c r="S33" s="120">
        <v>300.49</v>
      </c>
      <c r="T33" s="126">
        <f t="shared" si="17"/>
        <v>301.08999999999997</v>
      </c>
      <c r="U33" s="264">
        <f t="shared" si="4"/>
        <v>298.13723199999998</v>
      </c>
      <c r="V33" s="117">
        <f t="shared" si="53"/>
        <v>2.5</v>
      </c>
      <c r="W33" s="118">
        <f t="shared" si="54"/>
        <v>2.3527680000000259</v>
      </c>
      <c r="X33" s="189">
        <f t="shared" si="5"/>
        <v>2.4300000000000002</v>
      </c>
      <c r="Y33" s="145">
        <f t="shared" si="6"/>
        <v>0</v>
      </c>
      <c r="Z33" s="121">
        <f t="shared" si="6"/>
        <v>0</v>
      </c>
      <c r="AA33" s="121">
        <f t="shared" si="6"/>
        <v>0</v>
      </c>
      <c r="AB33" s="121">
        <f t="shared" si="6"/>
        <v>0</v>
      </c>
      <c r="AC33" s="121">
        <f t="shared" si="6"/>
        <v>0</v>
      </c>
      <c r="AD33" s="121">
        <f t="shared" si="6"/>
        <v>108.2</v>
      </c>
      <c r="AE33" s="121">
        <f t="shared" si="6"/>
        <v>0</v>
      </c>
      <c r="AF33" s="121">
        <f t="shared" si="6"/>
        <v>0</v>
      </c>
      <c r="AG33" s="121">
        <f t="shared" si="6"/>
        <v>0</v>
      </c>
      <c r="AH33" s="122">
        <f t="shared" si="6"/>
        <v>0</v>
      </c>
      <c r="AI33" s="145">
        <f t="shared" si="7"/>
        <v>0</v>
      </c>
      <c r="AJ33" s="121">
        <f t="shared" si="7"/>
        <v>0</v>
      </c>
      <c r="AK33" s="121">
        <f t="shared" si="7"/>
        <v>0</v>
      </c>
      <c r="AL33" s="121">
        <f t="shared" si="7"/>
        <v>0</v>
      </c>
      <c r="AM33" s="121">
        <f t="shared" si="7"/>
        <v>0</v>
      </c>
      <c r="AN33" s="121">
        <f t="shared" si="7"/>
        <v>0</v>
      </c>
      <c r="AO33" s="121">
        <f t="shared" si="7"/>
        <v>0</v>
      </c>
      <c r="AP33" s="121">
        <f t="shared" si="7"/>
        <v>0</v>
      </c>
      <c r="AQ33" s="121">
        <f t="shared" si="7"/>
        <v>0</v>
      </c>
      <c r="AR33" s="122">
        <f t="shared" si="7"/>
        <v>0</v>
      </c>
      <c r="AS33" s="145">
        <f t="shared" si="8"/>
        <v>0</v>
      </c>
      <c r="AT33" s="121">
        <f t="shared" si="8"/>
        <v>0</v>
      </c>
      <c r="AU33" s="121">
        <f t="shared" si="8"/>
        <v>0</v>
      </c>
      <c r="AV33" s="121">
        <f t="shared" si="8"/>
        <v>0</v>
      </c>
      <c r="AW33" s="121">
        <f t="shared" si="8"/>
        <v>0</v>
      </c>
      <c r="AX33" s="121">
        <f t="shared" si="8"/>
        <v>0</v>
      </c>
      <c r="AY33" s="121">
        <f t="shared" si="8"/>
        <v>0</v>
      </c>
      <c r="AZ33" s="121">
        <f t="shared" si="8"/>
        <v>0</v>
      </c>
      <c r="BA33" s="121">
        <f t="shared" si="8"/>
        <v>0</v>
      </c>
      <c r="BB33" s="122">
        <f t="shared" si="8"/>
        <v>0</v>
      </c>
      <c r="BC33" s="145">
        <f t="shared" si="27"/>
        <v>0</v>
      </c>
      <c r="BD33" s="192">
        <f t="shared" si="20"/>
        <v>108.2</v>
      </c>
      <c r="BE33" s="192">
        <f t="shared" si="21"/>
        <v>0</v>
      </c>
      <c r="BF33" s="192">
        <f t="shared" si="9"/>
        <v>97.38</v>
      </c>
      <c r="BG33" s="192">
        <f t="shared" si="22"/>
        <v>0</v>
      </c>
      <c r="BH33" s="192">
        <f t="shared" ref="BH33:BH53" si="56">+IF($N33=BH$12,$L33*($F33/1000+1.7),0)</f>
        <v>0</v>
      </c>
      <c r="BI33" s="192">
        <f t="shared" si="55"/>
        <v>0</v>
      </c>
      <c r="BJ33" s="122"/>
      <c r="BK33" s="123"/>
      <c r="BM33" s="125">
        <f t="shared" si="10"/>
        <v>108.2</v>
      </c>
      <c r="BN33" s="125">
        <f t="shared" si="24"/>
        <v>0</v>
      </c>
    </row>
    <row r="34" spans="1:66" s="81" customFormat="1" ht="16.5" customHeight="1">
      <c r="A34" s="124" t="str">
        <f t="shared" si="11"/>
        <v>OK</v>
      </c>
      <c r="C34" s="274"/>
      <c r="D34" s="113"/>
      <c r="E34" s="114"/>
      <c r="F34" s="114">
        <f t="shared" si="12"/>
        <v>300</v>
      </c>
      <c r="G34" s="263" t="str">
        <f t="shared" si="12"/>
        <v>HD</v>
      </c>
      <c r="H34" s="115" t="str">
        <f t="shared" si="12"/>
        <v>K-9</v>
      </c>
      <c r="I34" s="117">
        <f t="shared" si="13"/>
        <v>205.52</v>
      </c>
      <c r="J34" s="116">
        <v>327.22000000000003</v>
      </c>
      <c r="K34" s="117">
        <f t="shared" si="14"/>
        <v>121.70000000000002</v>
      </c>
      <c r="L34" s="118">
        <f t="shared" si="15"/>
        <v>121.7</v>
      </c>
      <c r="M34" s="116">
        <v>-0.39</v>
      </c>
      <c r="N34" s="113" t="str">
        <f t="shared" ref="N34:N52" si="57">+N33</f>
        <v>AF</v>
      </c>
      <c r="O34" s="115" t="str">
        <f t="shared" ref="O34:O52" si="58">+O33</f>
        <v>N</v>
      </c>
      <c r="P34" s="238" t="str">
        <f>+IF(O34="N",IF(X34&gt;1.75,"E",0),0)</f>
        <v>E</v>
      </c>
      <c r="Q34" s="238"/>
      <c r="R34" s="126">
        <f t="shared" si="16"/>
        <v>300.49</v>
      </c>
      <c r="S34" s="120">
        <v>299.63</v>
      </c>
      <c r="T34" s="126">
        <f t="shared" si="17"/>
        <v>298.13723199999998</v>
      </c>
      <c r="U34" s="264">
        <f t="shared" si="4"/>
        <v>297.66260199999999</v>
      </c>
      <c r="V34" s="117">
        <f t="shared" si="53"/>
        <v>2.3527680000000259</v>
      </c>
      <c r="W34" s="118">
        <f t="shared" si="54"/>
        <v>1.9673980000000029</v>
      </c>
      <c r="X34" s="189">
        <f t="shared" si="5"/>
        <v>2.16</v>
      </c>
      <c r="Y34" s="145">
        <f t="shared" si="6"/>
        <v>0</v>
      </c>
      <c r="Z34" s="121">
        <f t="shared" si="6"/>
        <v>0</v>
      </c>
      <c r="AA34" s="121">
        <f t="shared" si="6"/>
        <v>0</v>
      </c>
      <c r="AB34" s="121">
        <f t="shared" si="6"/>
        <v>0</v>
      </c>
      <c r="AC34" s="121">
        <f t="shared" si="6"/>
        <v>0</v>
      </c>
      <c r="AD34" s="121">
        <f t="shared" si="6"/>
        <v>121.7</v>
      </c>
      <c r="AE34" s="121">
        <f t="shared" si="6"/>
        <v>0</v>
      </c>
      <c r="AF34" s="121">
        <f t="shared" si="6"/>
        <v>0</v>
      </c>
      <c r="AG34" s="121">
        <f t="shared" si="6"/>
        <v>0</v>
      </c>
      <c r="AH34" s="122">
        <f t="shared" si="6"/>
        <v>0</v>
      </c>
      <c r="AI34" s="145">
        <f t="shared" si="7"/>
        <v>0</v>
      </c>
      <c r="AJ34" s="121">
        <f t="shared" si="7"/>
        <v>0</v>
      </c>
      <c r="AK34" s="121">
        <f t="shared" si="7"/>
        <v>0</v>
      </c>
      <c r="AL34" s="121">
        <f t="shared" si="7"/>
        <v>0</v>
      </c>
      <c r="AM34" s="121">
        <f t="shared" si="7"/>
        <v>0</v>
      </c>
      <c r="AN34" s="121">
        <f t="shared" si="7"/>
        <v>0</v>
      </c>
      <c r="AO34" s="121">
        <f t="shared" si="7"/>
        <v>0</v>
      </c>
      <c r="AP34" s="121">
        <f t="shared" si="7"/>
        <v>0</v>
      </c>
      <c r="AQ34" s="121">
        <f t="shared" si="7"/>
        <v>0</v>
      </c>
      <c r="AR34" s="122">
        <f t="shared" si="7"/>
        <v>0</v>
      </c>
      <c r="AS34" s="145">
        <f t="shared" si="8"/>
        <v>0</v>
      </c>
      <c r="AT34" s="121">
        <f t="shared" si="8"/>
        <v>0</v>
      </c>
      <c r="AU34" s="121">
        <f t="shared" si="8"/>
        <v>0</v>
      </c>
      <c r="AV34" s="121">
        <f t="shared" si="8"/>
        <v>0</v>
      </c>
      <c r="AW34" s="121">
        <f t="shared" si="8"/>
        <v>0</v>
      </c>
      <c r="AX34" s="121">
        <f t="shared" si="8"/>
        <v>0</v>
      </c>
      <c r="AY34" s="121">
        <f t="shared" si="8"/>
        <v>0</v>
      </c>
      <c r="AZ34" s="121">
        <f t="shared" si="8"/>
        <v>0</v>
      </c>
      <c r="BA34" s="121">
        <f t="shared" si="8"/>
        <v>0</v>
      </c>
      <c r="BB34" s="122">
        <f t="shared" si="8"/>
        <v>0</v>
      </c>
      <c r="BC34" s="145">
        <f t="shared" si="27"/>
        <v>0</v>
      </c>
      <c r="BD34" s="192">
        <f t="shared" si="20"/>
        <v>121.7</v>
      </c>
      <c r="BE34" s="192">
        <f t="shared" si="21"/>
        <v>0</v>
      </c>
      <c r="BF34" s="192">
        <f t="shared" si="9"/>
        <v>109.52999999999999</v>
      </c>
      <c r="BG34" s="192">
        <f t="shared" si="22"/>
        <v>0</v>
      </c>
      <c r="BH34" s="192">
        <f t="shared" si="56"/>
        <v>0</v>
      </c>
      <c r="BI34" s="192">
        <f t="shared" si="55"/>
        <v>0</v>
      </c>
      <c r="BJ34" s="122"/>
      <c r="BK34" s="123"/>
      <c r="BM34" s="125">
        <f t="shared" si="10"/>
        <v>121.7</v>
      </c>
      <c r="BN34" s="125">
        <f t="shared" si="24"/>
        <v>0</v>
      </c>
    </row>
    <row r="35" spans="1:66" s="81" customFormat="1" ht="16.5" customHeight="1">
      <c r="A35" s="124" t="str">
        <f t="shared" si="11"/>
        <v>OK</v>
      </c>
      <c r="C35" s="274"/>
      <c r="D35" s="113"/>
      <c r="E35" s="114"/>
      <c r="F35" s="114">
        <f t="shared" si="12"/>
        <v>300</v>
      </c>
      <c r="G35" s="263" t="str">
        <f t="shared" si="12"/>
        <v>HD</v>
      </c>
      <c r="H35" s="115" t="str">
        <f t="shared" si="12"/>
        <v>K-9</v>
      </c>
      <c r="I35" s="117">
        <f t="shared" si="13"/>
        <v>327.22000000000003</v>
      </c>
      <c r="J35" s="116">
        <f>+J34+78.3</f>
        <v>405.52000000000004</v>
      </c>
      <c r="K35" s="117">
        <f t="shared" si="14"/>
        <v>78.300000000000011</v>
      </c>
      <c r="L35" s="118">
        <f t="shared" si="15"/>
        <v>78.3</v>
      </c>
      <c r="M35" s="116">
        <v>0.66</v>
      </c>
      <c r="N35" s="113" t="str">
        <f t="shared" si="57"/>
        <v>AF</v>
      </c>
      <c r="O35" s="115" t="str">
        <f t="shared" si="58"/>
        <v>N</v>
      </c>
      <c r="P35" s="238" t="str">
        <f t="shared" si="3"/>
        <v>E</v>
      </c>
      <c r="Q35" s="238"/>
      <c r="R35" s="126">
        <f t="shared" si="16"/>
        <v>299.63</v>
      </c>
      <c r="S35" s="120">
        <v>300.35000000000002</v>
      </c>
      <c r="T35" s="126">
        <f t="shared" si="17"/>
        <v>297.66260199999999</v>
      </c>
      <c r="U35" s="264">
        <f t="shared" si="4"/>
        <v>298.17938199999998</v>
      </c>
      <c r="V35" s="117">
        <f t="shared" si="53"/>
        <v>1.9673980000000029</v>
      </c>
      <c r="W35" s="118">
        <f t="shared" si="54"/>
        <v>2.1706180000000472</v>
      </c>
      <c r="X35" s="189">
        <f t="shared" si="5"/>
        <v>2.0699999999999998</v>
      </c>
      <c r="Y35" s="145">
        <f t="shared" si="6"/>
        <v>0</v>
      </c>
      <c r="Z35" s="121">
        <f t="shared" si="6"/>
        <v>0</v>
      </c>
      <c r="AA35" s="121">
        <f t="shared" si="6"/>
        <v>0</v>
      </c>
      <c r="AB35" s="121">
        <f t="shared" si="6"/>
        <v>0</v>
      </c>
      <c r="AC35" s="121">
        <f t="shared" si="6"/>
        <v>0</v>
      </c>
      <c r="AD35" s="121">
        <f t="shared" si="6"/>
        <v>78.3</v>
      </c>
      <c r="AE35" s="121">
        <f t="shared" si="6"/>
        <v>0</v>
      </c>
      <c r="AF35" s="121">
        <f t="shared" si="6"/>
        <v>0</v>
      </c>
      <c r="AG35" s="121">
        <f t="shared" si="6"/>
        <v>0</v>
      </c>
      <c r="AH35" s="122">
        <f t="shared" si="6"/>
        <v>0</v>
      </c>
      <c r="AI35" s="145">
        <f t="shared" si="7"/>
        <v>0</v>
      </c>
      <c r="AJ35" s="121">
        <f t="shared" si="7"/>
        <v>0</v>
      </c>
      <c r="AK35" s="121">
        <f t="shared" si="7"/>
        <v>0</v>
      </c>
      <c r="AL35" s="121">
        <f t="shared" si="7"/>
        <v>0</v>
      </c>
      <c r="AM35" s="121">
        <f t="shared" si="7"/>
        <v>0</v>
      </c>
      <c r="AN35" s="121">
        <f t="shared" si="7"/>
        <v>0</v>
      </c>
      <c r="AO35" s="121">
        <f t="shared" si="7"/>
        <v>0</v>
      </c>
      <c r="AP35" s="121">
        <f t="shared" si="7"/>
        <v>0</v>
      </c>
      <c r="AQ35" s="121">
        <f t="shared" si="7"/>
        <v>0</v>
      </c>
      <c r="AR35" s="122">
        <f t="shared" si="7"/>
        <v>0</v>
      </c>
      <c r="AS35" s="145">
        <f t="shared" si="8"/>
        <v>0</v>
      </c>
      <c r="AT35" s="121">
        <f t="shared" si="8"/>
        <v>0</v>
      </c>
      <c r="AU35" s="121">
        <f t="shared" si="8"/>
        <v>0</v>
      </c>
      <c r="AV35" s="121">
        <f t="shared" si="8"/>
        <v>0</v>
      </c>
      <c r="AW35" s="121">
        <f t="shared" si="8"/>
        <v>0</v>
      </c>
      <c r="AX35" s="121">
        <f t="shared" si="8"/>
        <v>0</v>
      </c>
      <c r="AY35" s="121">
        <f t="shared" si="8"/>
        <v>0</v>
      </c>
      <c r="AZ35" s="121">
        <f t="shared" si="8"/>
        <v>0</v>
      </c>
      <c r="BA35" s="121">
        <f t="shared" si="8"/>
        <v>0</v>
      </c>
      <c r="BB35" s="122">
        <f t="shared" si="8"/>
        <v>0</v>
      </c>
      <c r="BC35" s="145">
        <f t="shared" si="27"/>
        <v>0</v>
      </c>
      <c r="BD35" s="192">
        <f t="shared" si="20"/>
        <v>78.3</v>
      </c>
      <c r="BE35" s="192">
        <f t="shared" si="21"/>
        <v>0</v>
      </c>
      <c r="BF35" s="192">
        <f t="shared" si="9"/>
        <v>70.469999999999985</v>
      </c>
      <c r="BG35" s="192">
        <f t="shared" si="22"/>
        <v>0</v>
      </c>
      <c r="BH35" s="192">
        <f t="shared" si="56"/>
        <v>0</v>
      </c>
      <c r="BI35" s="192">
        <f t="shared" si="55"/>
        <v>0</v>
      </c>
      <c r="BJ35" s="122"/>
      <c r="BK35" s="123"/>
      <c r="BM35" s="125">
        <f t="shared" si="10"/>
        <v>78.3</v>
      </c>
      <c r="BN35" s="125">
        <f t="shared" si="24"/>
        <v>0</v>
      </c>
    </row>
    <row r="36" spans="1:66" s="81" customFormat="1" ht="16.5" customHeight="1">
      <c r="A36" s="124" t="str">
        <f t="shared" si="11"/>
        <v>OK</v>
      </c>
      <c r="C36" s="274"/>
      <c r="D36" s="113"/>
      <c r="E36" s="114"/>
      <c r="F36" s="114">
        <f t="shared" si="12"/>
        <v>300</v>
      </c>
      <c r="G36" s="263" t="str">
        <f t="shared" si="12"/>
        <v>HD</v>
      </c>
      <c r="H36" s="115" t="str">
        <f t="shared" si="12"/>
        <v>K-9</v>
      </c>
      <c r="I36" s="117">
        <f t="shared" si="13"/>
        <v>405.52000000000004</v>
      </c>
      <c r="J36" s="116">
        <v>413.86</v>
      </c>
      <c r="K36" s="117">
        <f t="shared" si="14"/>
        <v>8.339999999999975</v>
      </c>
      <c r="L36" s="118">
        <f t="shared" si="15"/>
        <v>8.34</v>
      </c>
      <c r="M36" s="116">
        <v>0.66</v>
      </c>
      <c r="N36" s="113" t="s">
        <v>224</v>
      </c>
      <c r="O36" s="115" t="s">
        <v>4</v>
      </c>
      <c r="P36" s="238">
        <f t="shared" si="3"/>
        <v>0</v>
      </c>
      <c r="Q36" s="238"/>
      <c r="R36" s="126">
        <f t="shared" si="16"/>
        <v>300.35000000000002</v>
      </c>
      <c r="S36" s="120">
        <v>300.58999999999997</v>
      </c>
      <c r="T36" s="126">
        <f t="shared" si="17"/>
        <v>298.17938199999998</v>
      </c>
      <c r="U36" s="264">
        <f t="shared" si="4"/>
        <v>298.23442599999998</v>
      </c>
      <c r="V36" s="117">
        <f t="shared" si="53"/>
        <v>2.1706180000000472</v>
      </c>
      <c r="W36" s="118">
        <f t="shared" si="54"/>
        <v>2.3555739999999901</v>
      </c>
      <c r="X36" s="189">
        <f t="shared" si="5"/>
        <v>2.2599999999999998</v>
      </c>
      <c r="Y36" s="145">
        <f t="shared" si="6"/>
        <v>0</v>
      </c>
      <c r="Z36" s="121">
        <f t="shared" si="6"/>
        <v>0</v>
      </c>
      <c r="AA36" s="121">
        <f t="shared" si="6"/>
        <v>0</v>
      </c>
      <c r="AB36" s="121">
        <f t="shared" si="6"/>
        <v>0</v>
      </c>
      <c r="AC36" s="121">
        <f t="shared" si="6"/>
        <v>0</v>
      </c>
      <c r="AD36" s="121">
        <f t="shared" si="6"/>
        <v>0</v>
      </c>
      <c r="AE36" s="121">
        <f t="shared" si="6"/>
        <v>0</v>
      </c>
      <c r="AF36" s="121">
        <f t="shared" si="6"/>
        <v>0</v>
      </c>
      <c r="AG36" s="121">
        <f t="shared" si="6"/>
        <v>0</v>
      </c>
      <c r="AH36" s="122">
        <f t="shared" si="6"/>
        <v>0</v>
      </c>
      <c r="AI36" s="145">
        <f t="shared" si="7"/>
        <v>0</v>
      </c>
      <c r="AJ36" s="121">
        <f t="shared" si="7"/>
        <v>0</v>
      </c>
      <c r="AK36" s="121">
        <f t="shared" si="7"/>
        <v>0</v>
      </c>
      <c r="AL36" s="121">
        <f t="shared" si="7"/>
        <v>0</v>
      </c>
      <c r="AM36" s="121">
        <f t="shared" si="7"/>
        <v>0</v>
      </c>
      <c r="AN36" s="121">
        <f t="shared" si="7"/>
        <v>0</v>
      </c>
      <c r="AO36" s="121">
        <f t="shared" si="7"/>
        <v>0</v>
      </c>
      <c r="AP36" s="121">
        <f t="shared" si="7"/>
        <v>0</v>
      </c>
      <c r="AQ36" s="121">
        <f t="shared" si="7"/>
        <v>0</v>
      </c>
      <c r="AR36" s="122">
        <f t="shared" si="7"/>
        <v>0</v>
      </c>
      <c r="AS36" s="145">
        <f t="shared" si="8"/>
        <v>0</v>
      </c>
      <c r="AT36" s="121">
        <f t="shared" si="8"/>
        <v>0</v>
      </c>
      <c r="AU36" s="121">
        <f t="shared" si="8"/>
        <v>0</v>
      </c>
      <c r="AV36" s="121">
        <f t="shared" si="8"/>
        <v>0</v>
      </c>
      <c r="AW36" s="121">
        <f t="shared" si="8"/>
        <v>0</v>
      </c>
      <c r="AX36" s="121">
        <f t="shared" si="8"/>
        <v>8.34</v>
      </c>
      <c r="AY36" s="121">
        <f t="shared" si="8"/>
        <v>0</v>
      </c>
      <c r="AZ36" s="121">
        <f t="shared" si="8"/>
        <v>0</v>
      </c>
      <c r="BA36" s="121">
        <f t="shared" si="8"/>
        <v>0</v>
      </c>
      <c r="BB36" s="122">
        <f t="shared" si="8"/>
        <v>0</v>
      </c>
      <c r="BC36" s="145">
        <f t="shared" si="27"/>
        <v>0</v>
      </c>
      <c r="BD36" s="192">
        <f t="shared" si="20"/>
        <v>0</v>
      </c>
      <c r="BE36" s="192">
        <f t="shared" si="21"/>
        <v>0</v>
      </c>
      <c r="BF36" s="192">
        <f t="shared" si="9"/>
        <v>0</v>
      </c>
      <c r="BG36" s="192">
        <f t="shared" si="22"/>
        <v>0</v>
      </c>
      <c r="BH36" s="192">
        <f t="shared" si="56"/>
        <v>16.68</v>
      </c>
      <c r="BI36" s="192">
        <f t="shared" si="55"/>
        <v>0</v>
      </c>
      <c r="BJ36" s="122"/>
      <c r="BK36" s="123"/>
      <c r="BM36" s="125">
        <f t="shared" si="10"/>
        <v>0</v>
      </c>
      <c r="BN36" s="125">
        <f t="shared" si="24"/>
        <v>0</v>
      </c>
    </row>
    <row r="37" spans="1:66" s="81" customFormat="1" ht="16.5" customHeight="1">
      <c r="A37" s="124" t="str">
        <f t="shared" si="11"/>
        <v>OK</v>
      </c>
      <c r="C37" s="274"/>
      <c r="D37" s="113"/>
      <c r="E37" s="114"/>
      <c r="F37" s="114">
        <f t="shared" si="12"/>
        <v>300</v>
      </c>
      <c r="G37" s="263" t="str">
        <f t="shared" si="12"/>
        <v>HD</v>
      </c>
      <c r="H37" s="115" t="str">
        <f t="shared" si="12"/>
        <v>K-9</v>
      </c>
      <c r="I37" s="117">
        <f t="shared" si="13"/>
        <v>413.86</v>
      </c>
      <c r="J37" s="116">
        <v>488.04</v>
      </c>
      <c r="K37" s="117">
        <v>74.36</v>
      </c>
      <c r="L37" s="118">
        <f t="shared" si="15"/>
        <v>74.53</v>
      </c>
      <c r="M37" s="116">
        <v>6.82</v>
      </c>
      <c r="N37" s="113" t="str">
        <f t="shared" si="57"/>
        <v>AD</v>
      </c>
      <c r="O37" s="115" t="str">
        <f t="shared" si="58"/>
        <v>R</v>
      </c>
      <c r="P37" s="238">
        <f t="shared" si="3"/>
        <v>0</v>
      </c>
      <c r="Q37" s="238" t="s">
        <v>205</v>
      </c>
      <c r="R37" s="126">
        <f t="shared" si="16"/>
        <v>300.58999999999997</v>
      </c>
      <c r="S37" s="120">
        <v>305.35000000000002</v>
      </c>
      <c r="T37" s="126">
        <f t="shared" si="17"/>
        <v>298.23442599999998</v>
      </c>
      <c r="U37" s="264">
        <f t="shared" si="4"/>
        <v>303.30577799999998</v>
      </c>
      <c r="V37" s="117">
        <f t="shared" si="53"/>
        <v>2.3555739999999901</v>
      </c>
      <c r="W37" s="118">
        <f t="shared" si="54"/>
        <v>2.0442220000000475</v>
      </c>
      <c r="X37" s="189">
        <f t="shared" si="5"/>
        <v>2.2000000000000002</v>
      </c>
      <c r="Y37" s="145">
        <f t="shared" ref="Y37:AH53" si="59">+IF($O37="N",IF($X37&gt;=Y$11,IF($X37&lt;=Y$12,$L37,0),0),0)</f>
        <v>0</v>
      </c>
      <c r="Z37" s="121">
        <f t="shared" si="59"/>
        <v>0</v>
      </c>
      <c r="AA37" s="121">
        <f t="shared" si="59"/>
        <v>0</v>
      </c>
      <c r="AB37" s="121">
        <f t="shared" si="59"/>
        <v>0</v>
      </c>
      <c r="AC37" s="121">
        <f t="shared" si="59"/>
        <v>0</v>
      </c>
      <c r="AD37" s="121">
        <f t="shared" si="59"/>
        <v>0</v>
      </c>
      <c r="AE37" s="121">
        <f t="shared" si="59"/>
        <v>0</v>
      </c>
      <c r="AF37" s="121">
        <f t="shared" si="59"/>
        <v>0</v>
      </c>
      <c r="AG37" s="121">
        <f t="shared" si="59"/>
        <v>0</v>
      </c>
      <c r="AH37" s="122">
        <f t="shared" si="59"/>
        <v>0</v>
      </c>
      <c r="AI37" s="145">
        <f t="shared" ref="AI37:AR53" si="60">+IF($O37="SR",IF($X37&gt;=AI$11,IF($X37&lt;=AI$12,$L37,0),0),0)</f>
        <v>0</v>
      </c>
      <c r="AJ37" s="121">
        <f t="shared" si="60"/>
        <v>0</v>
      </c>
      <c r="AK37" s="121">
        <f t="shared" si="60"/>
        <v>0</v>
      </c>
      <c r="AL37" s="121">
        <f t="shared" si="60"/>
        <v>0</v>
      </c>
      <c r="AM37" s="121">
        <f t="shared" si="60"/>
        <v>0</v>
      </c>
      <c r="AN37" s="121">
        <f t="shared" si="60"/>
        <v>0</v>
      </c>
      <c r="AO37" s="121">
        <f t="shared" si="60"/>
        <v>0</v>
      </c>
      <c r="AP37" s="121">
        <f t="shared" si="60"/>
        <v>0</v>
      </c>
      <c r="AQ37" s="121">
        <f t="shared" si="60"/>
        <v>0</v>
      </c>
      <c r="AR37" s="122">
        <f t="shared" si="60"/>
        <v>0</v>
      </c>
      <c r="AS37" s="145">
        <f t="shared" ref="AS37:BB53" si="61">+IF($O37="R",IF($X37&gt;=AS$11,IF($X37&lt;=AS$12,$L37,0),0),0)</f>
        <v>0</v>
      </c>
      <c r="AT37" s="121">
        <f t="shared" si="61"/>
        <v>0</v>
      </c>
      <c r="AU37" s="121">
        <f t="shared" si="61"/>
        <v>0</v>
      </c>
      <c r="AV37" s="121">
        <f t="shared" si="61"/>
        <v>0</v>
      </c>
      <c r="AW37" s="121">
        <f t="shared" si="61"/>
        <v>0</v>
      </c>
      <c r="AX37" s="121">
        <f t="shared" si="61"/>
        <v>74.53</v>
      </c>
      <c r="AY37" s="121">
        <f t="shared" si="61"/>
        <v>0</v>
      </c>
      <c r="AZ37" s="121">
        <f t="shared" si="61"/>
        <v>0</v>
      </c>
      <c r="BA37" s="121">
        <f t="shared" si="61"/>
        <v>0</v>
      </c>
      <c r="BB37" s="122">
        <f t="shared" si="61"/>
        <v>0</v>
      </c>
      <c r="BC37" s="145">
        <f t="shared" si="27"/>
        <v>0</v>
      </c>
      <c r="BD37" s="192">
        <f t="shared" si="20"/>
        <v>0</v>
      </c>
      <c r="BE37" s="192">
        <f t="shared" si="21"/>
        <v>74.53</v>
      </c>
      <c r="BF37" s="192">
        <f t="shared" si="9"/>
        <v>0</v>
      </c>
      <c r="BG37" s="192">
        <f t="shared" si="22"/>
        <v>0</v>
      </c>
      <c r="BH37" s="192">
        <f t="shared" si="56"/>
        <v>149.06</v>
      </c>
      <c r="BI37" s="192">
        <f t="shared" si="55"/>
        <v>0</v>
      </c>
      <c r="BJ37" s="122"/>
      <c r="BK37" s="123"/>
      <c r="BM37" s="125">
        <f t="shared" si="10"/>
        <v>0</v>
      </c>
      <c r="BN37" s="125">
        <f t="shared" si="24"/>
        <v>0</v>
      </c>
    </row>
    <row r="38" spans="1:66" s="81" customFormat="1" ht="16.5" customHeight="1">
      <c r="A38" s="124" t="str">
        <f t="shared" si="11"/>
        <v>OK</v>
      </c>
      <c r="C38" s="274"/>
      <c r="D38" s="113"/>
      <c r="E38" s="114"/>
      <c r="F38" s="114">
        <f t="shared" ref="F38:H45" si="62">+F37</f>
        <v>300</v>
      </c>
      <c r="G38" s="263" t="str">
        <f t="shared" si="62"/>
        <v>HD</v>
      </c>
      <c r="H38" s="115" t="str">
        <f t="shared" si="62"/>
        <v>K-9</v>
      </c>
      <c r="I38" s="117">
        <f t="shared" si="13"/>
        <v>488.04</v>
      </c>
      <c r="J38" s="116">
        <v>496.21</v>
      </c>
      <c r="K38" s="117">
        <f t="shared" si="14"/>
        <v>8.1699999999999591</v>
      </c>
      <c r="L38" s="118">
        <f t="shared" si="15"/>
        <v>8.5</v>
      </c>
      <c r="M38" s="116">
        <v>28.8</v>
      </c>
      <c r="N38" s="113" t="str">
        <f t="shared" si="57"/>
        <v>AD</v>
      </c>
      <c r="O38" s="115" t="str">
        <f t="shared" si="58"/>
        <v>R</v>
      </c>
      <c r="P38" s="238">
        <f t="shared" si="3"/>
        <v>0</v>
      </c>
      <c r="Q38" s="238" t="str">
        <f>+Q37</f>
        <v>A</v>
      </c>
      <c r="R38" s="126">
        <f t="shared" si="16"/>
        <v>305.35000000000002</v>
      </c>
      <c r="S38" s="120">
        <v>306.26</v>
      </c>
      <c r="T38" s="126">
        <f t="shared" si="17"/>
        <v>303.30577799999998</v>
      </c>
      <c r="U38" s="264">
        <v>305.99</v>
      </c>
      <c r="V38" s="117">
        <f t="shared" si="53"/>
        <v>2.0442220000000475</v>
      </c>
      <c r="W38" s="118">
        <f t="shared" si="54"/>
        <v>0.26999999999998181</v>
      </c>
      <c r="X38" s="189">
        <f t="shared" si="5"/>
        <v>1.1599999999999999</v>
      </c>
      <c r="Y38" s="145">
        <f t="shared" si="59"/>
        <v>0</v>
      </c>
      <c r="Z38" s="121">
        <f t="shared" si="59"/>
        <v>0</v>
      </c>
      <c r="AA38" s="121">
        <f t="shared" si="59"/>
        <v>0</v>
      </c>
      <c r="AB38" s="121">
        <f t="shared" si="59"/>
        <v>0</v>
      </c>
      <c r="AC38" s="121">
        <f t="shared" si="59"/>
        <v>0</v>
      </c>
      <c r="AD38" s="121">
        <f t="shared" si="59"/>
        <v>0</v>
      </c>
      <c r="AE38" s="121">
        <f t="shared" si="59"/>
        <v>0</v>
      </c>
      <c r="AF38" s="121">
        <f t="shared" si="59"/>
        <v>0</v>
      </c>
      <c r="AG38" s="121">
        <f t="shared" si="59"/>
        <v>0</v>
      </c>
      <c r="AH38" s="122">
        <f t="shared" si="59"/>
        <v>0</v>
      </c>
      <c r="AI38" s="145">
        <f t="shared" si="60"/>
        <v>0</v>
      </c>
      <c r="AJ38" s="121">
        <f t="shared" si="60"/>
        <v>0</v>
      </c>
      <c r="AK38" s="121">
        <f t="shared" si="60"/>
        <v>0</v>
      </c>
      <c r="AL38" s="121">
        <f t="shared" si="60"/>
        <v>0</v>
      </c>
      <c r="AM38" s="121">
        <f t="shared" si="60"/>
        <v>0</v>
      </c>
      <c r="AN38" s="121">
        <f t="shared" si="60"/>
        <v>0</v>
      </c>
      <c r="AO38" s="121">
        <f t="shared" si="60"/>
        <v>0</v>
      </c>
      <c r="AP38" s="121">
        <f t="shared" si="60"/>
        <v>0</v>
      </c>
      <c r="AQ38" s="121">
        <f t="shared" si="60"/>
        <v>0</v>
      </c>
      <c r="AR38" s="122">
        <f t="shared" si="60"/>
        <v>0</v>
      </c>
      <c r="AS38" s="145">
        <f t="shared" si="61"/>
        <v>0</v>
      </c>
      <c r="AT38" s="121">
        <f t="shared" si="61"/>
        <v>8.5</v>
      </c>
      <c r="AU38" s="121">
        <f t="shared" si="61"/>
        <v>0</v>
      </c>
      <c r="AV38" s="121">
        <f t="shared" si="61"/>
        <v>0</v>
      </c>
      <c r="AW38" s="121">
        <f t="shared" si="61"/>
        <v>0</v>
      </c>
      <c r="AX38" s="121">
        <f t="shared" si="61"/>
        <v>0</v>
      </c>
      <c r="AY38" s="121">
        <f t="shared" si="61"/>
        <v>0</v>
      </c>
      <c r="AZ38" s="121">
        <f t="shared" si="61"/>
        <v>0</v>
      </c>
      <c r="BA38" s="121">
        <f t="shared" si="61"/>
        <v>0</v>
      </c>
      <c r="BB38" s="122">
        <f t="shared" si="61"/>
        <v>0</v>
      </c>
      <c r="BC38" s="145">
        <f t="shared" si="27"/>
        <v>0</v>
      </c>
      <c r="BD38" s="192">
        <f t="shared" si="20"/>
        <v>0</v>
      </c>
      <c r="BE38" s="192">
        <f t="shared" si="21"/>
        <v>8.5</v>
      </c>
      <c r="BF38" s="192">
        <f t="shared" si="9"/>
        <v>0</v>
      </c>
      <c r="BG38" s="192">
        <f t="shared" si="22"/>
        <v>0</v>
      </c>
      <c r="BH38" s="192">
        <f t="shared" si="56"/>
        <v>17</v>
      </c>
      <c r="BI38" s="192">
        <f t="shared" si="55"/>
        <v>0</v>
      </c>
      <c r="BJ38" s="122"/>
      <c r="BK38" s="123"/>
      <c r="BM38" s="125">
        <f t="shared" si="10"/>
        <v>0</v>
      </c>
      <c r="BN38" s="125">
        <f t="shared" si="24"/>
        <v>0</v>
      </c>
    </row>
    <row r="39" spans="1:66" s="81" customFormat="1" ht="16.5" customHeight="1">
      <c r="A39" s="124" t="str">
        <f t="shared" si="11"/>
        <v>OK</v>
      </c>
      <c r="C39" s="274"/>
      <c r="D39" s="113"/>
      <c r="E39" s="114"/>
      <c r="F39" s="114">
        <f t="shared" si="62"/>
        <v>300</v>
      </c>
      <c r="G39" s="263" t="str">
        <f t="shared" si="62"/>
        <v>HD</v>
      </c>
      <c r="H39" s="115" t="str">
        <f t="shared" si="62"/>
        <v>K-9</v>
      </c>
      <c r="I39" s="117">
        <f t="shared" si="13"/>
        <v>496.21</v>
      </c>
      <c r="J39" s="116">
        <v>498.73</v>
      </c>
      <c r="K39" s="117">
        <f t="shared" si="14"/>
        <v>2.5200000000000387</v>
      </c>
      <c r="L39" s="118">
        <f t="shared" si="15"/>
        <v>2.5499999999999998</v>
      </c>
      <c r="M39" s="116">
        <v>15.48</v>
      </c>
      <c r="N39" s="113" t="str">
        <f t="shared" si="57"/>
        <v>AD</v>
      </c>
      <c r="O39" s="115" t="str">
        <f t="shared" si="58"/>
        <v>R</v>
      </c>
      <c r="P39" s="238">
        <f t="shared" si="3"/>
        <v>0</v>
      </c>
      <c r="Q39" s="238" t="str">
        <f t="shared" ref="Q39:Q53" si="63">+Q38</f>
        <v>A</v>
      </c>
      <c r="R39" s="126">
        <f t="shared" si="16"/>
        <v>306.26</v>
      </c>
      <c r="S39" s="120">
        <v>307.49</v>
      </c>
      <c r="T39" s="126">
        <f t="shared" si="17"/>
        <v>305.99</v>
      </c>
      <c r="U39" s="264">
        <f t="shared" si="4"/>
        <v>306.38009600000004</v>
      </c>
      <c r="V39" s="117">
        <f t="shared" si="53"/>
        <v>0.26999999999998181</v>
      </c>
      <c r="W39" s="118">
        <f t="shared" si="54"/>
        <v>1.1099039999999718</v>
      </c>
      <c r="X39" s="189">
        <f t="shared" si="5"/>
        <v>0.69</v>
      </c>
      <c r="Y39" s="145">
        <f t="shared" si="59"/>
        <v>0</v>
      </c>
      <c r="Z39" s="121">
        <f t="shared" si="59"/>
        <v>0</v>
      </c>
      <c r="AA39" s="121">
        <f t="shared" si="59"/>
        <v>0</v>
      </c>
      <c r="AB39" s="121">
        <f t="shared" si="59"/>
        <v>0</v>
      </c>
      <c r="AC39" s="121">
        <f t="shared" si="59"/>
        <v>0</v>
      </c>
      <c r="AD39" s="121">
        <f t="shared" si="59"/>
        <v>0</v>
      </c>
      <c r="AE39" s="121">
        <f t="shared" si="59"/>
        <v>0</v>
      </c>
      <c r="AF39" s="121">
        <f t="shared" si="59"/>
        <v>0</v>
      </c>
      <c r="AG39" s="121">
        <f t="shared" si="59"/>
        <v>0</v>
      </c>
      <c r="AH39" s="122">
        <f t="shared" si="59"/>
        <v>0</v>
      </c>
      <c r="AI39" s="145">
        <f t="shared" si="60"/>
        <v>0</v>
      </c>
      <c r="AJ39" s="121">
        <f t="shared" si="60"/>
        <v>0</v>
      </c>
      <c r="AK39" s="121">
        <f t="shared" si="60"/>
        <v>0</v>
      </c>
      <c r="AL39" s="121">
        <f t="shared" si="60"/>
        <v>0</v>
      </c>
      <c r="AM39" s="121">
        <f t="shared" si="60"/>
        <v>0</v>
      </c>
      <c r="AN39" s="121">
        <f t="shared" si="60"/>
        <v>0</v>
      </c>
      <c r="AO39" s="121">
        <f t="shared" si="60"/>
        <v>0</v>
      </c>
      <c r="AP39" s="121">
        <f t="shared" si="60"/>
        <v>0</v>
      </c>
      <c r="AQ39" s="121">
        <f t="shared" si="60"/>
        <v>0</v>
      </c>
      <c r="AR39" s="122">
        <f t="shared" si="60"/>
        <v>0</v>
      </c>
      <c r="AS39" s="145">
        <f t="shared" si="61"/>
        <v>2.5499999999999998</v>
      </c>
      <c r="AT39" s="121">
        <f t="shared" si="61"/>
        <v>0</v>
      </c>
      <c r="AU39" s="121">
        <f t="shared" si="61"/>
        <v>0</v>
      </c>
      <c r="AV39" s="121">
        <f t="shared" si="61"/>
        <v>0</v>
      </c>
      <c r="AW39" s="121">
        <f t="shared" si="61"/>
        <v>0</v>
      </c>
      <c r="AX39" s="121">
        <f t="shared" si="61"/>
        <v>0</v>
      </c>
      <c r="AY39" s="121">
        <f t="shared" si="61"/>
        <v>0</v>
      </c>
      <c r="AZ39" s="121">
        <f t="shared" si="61"/>
        <v>0</v>
      </c>
      <c r="BA39" s="121">
        <f t="shared" si="61"/>
        <v>0</v>
      </c>
      <c r="BB39" s="122">
        <f t="shared" si="61"/>
        <v>0</v>
      </c>
      <c r="BC39" s="145">
        <f t="shared" si="27"/>
        <v>0</v>
      </c>
      <c r="BD39" s="192">
        <f t="shared" si="20"/>
        <v>0</v>
      </c>
      <c r="BE39" s="192">
        <f t="shared" si="21"/>
        <v>2.5499999999999998</v>
      </c>
      <c r="BF39" s="192">
        <f t="shared" si="9"/>
        <v>0</v>
      </c>
      <c r="BG39" s="192">
        <f t="shared" si="22"/>
        <v>0</v>
      </c>
      <c r="BH39" s="192">
        <f t="shared" si="56"/>
        <v>5.0999999999999996</v>
      </c>
      <c r="BI39" s="192">
        <f t="shared" si="55"/>
        <v>0</v>
      </c>
      <c r="BJ39" s="122"/>
      <c r="BK39" s="123"/>
      <c r="BM39" s="125">
        <f t="shared" si="10"/>
        <v>0</v>
      </c>
      <c r="BN39" s="125">
        <f t="shared" si="24"/>
        <v>0</v>
      </c>
    </row>
    <row r="40" spans="1:66" s="81" customFormat="1" ht="16.5" customHeight="1">
      <c r="A40" s="124" t="str">
        <f t="shared" si="11"/>
        <v>OK</v>
      </c>
      <c r="C40" s="274"/>
      <c r="D40" s="113"/>
      <c r="E40" s="114"/>
      <c r="F40" s="114">
        <f t="shared" si="62"/>
        <v>300</v>
      </c>
      <c r="G40" s="263" t="str">
        <f t="shared" si="62"/>
        <v>HD</v>
      </c>
      <c r="H40" s="115" t="str">
        <f t="shared" si="62"/>
        <v>K-9</v>
      </c>
      <c r="I40" s="117">
        <f t="shared" si="13"/>
        <v>498.73</v>
      </c>
      <c r="J40" s="116">
        <f>+J39+1.27</f>
        <v>500</v>
      </c>
      <c r="K40" s="117">
        <f t="shared" si="14"/>
        <v>1.2699999999999818</v>
      </c>
      <c r="L40" s="118">
        <f t="shared" si="15"/>
        <v>1.27</v>
      </c>
      <c r="M40" s="116">
        <v>8.33</v>
      </c>
      <c r="N40" s="113" t="str">
        <f t="shared" si="57"/>
        <v>AD</v>
      </c>
      <c r="O40" s="115" t="str">
        <f t="shared" si="58"/>
        <v>R</v>
      </c>
      <c r="P40" s="238">
        <f t="shared" si="3"/>
        <v>0</v>
      </c>
      <c r="Q40" s="238" t="str">
        <f t="shared" si="63"/>
        <v>A</v>
      </c>
      <c r="R40" s="126">
        <f t="shared" si="16"/>
        <v>307.49</v>
      </c>
      <c r="S40" s="120">
        <v>307.55</v>
      </c>
      <c r="T40" s="126">
        <f t="shared" si="17"/>
        <v>306.38009600000004</v>
      </c>
      <c r="U40" s="264">
        <f t="shared" si="4"/>
        <v>306.48588700000005</v>
      </c>
      <c r="V40" s="117">
        <f t="shared" si="53"/>
        <v>1.1099039999999718</v>
      </c>
      <c r="W40" s="118">
        <f t="shared" si="54"/>
        <v>1.0641129999999634</v>
      </c>
      <c r="X40" s="189">
        <f t="shared" si="5"/>
        <v>1.0900000000000001</v>
      </c>
      <c r="Y40" s="145">
        <f t="shared" si="59"/>
        <v>0</v>
      </c>
      <c r="Z40" s="121">
        <f t="shared" si="59"/>
        <v>0</v>
      </c>
      <c r="AA40" s="121">
        <f t="shared" si="59"/>
        <v>0</v>
      </c>
      <c r="AB40" s="121">
        <f t="shared" si="59"/>
        <v>0</v>
      </c>
      <c r="AC40" s="121">
        <f t="shared" si="59"/>
        <v>0</v>
      </c>
      <c r="AD40" s="121">
        <f t="shared" si="59"/>
        <v>0</v>
      </c>
      <c r="AE40" s="121">
        <f t="shared" si="59"/>
        <v>0</v>
      </c>
      <c r="AF40" s="121">
        <f t="shared" si="59"/>
        <v>0</v>
      </c>
      <c r="AG40" s="121">
        <f t="shared" si="59"/>
        <v>0</v>
      </c>
      <c r="AH40" s="122">
        <f t="shared" si="59"/>
        <v>0</v>
      </c>
      <c r="AI40" s="145">
        <f t="shared" si="60"/>
        <v>0</v>
      </c>
      <c r="AJ40" s="121">
        <f t="shared" si="60"/>
        <v>0</v>
      </c>
      <c r="AK40" s="121">
        <f t="shared" si="60"/>
        <v>0</v>
      </c>
      <c r="AL40" s="121">
        <f t="shared" si="60"/>
        <v>0</v>
      </c>
      <c r="AM40" s="121">
        <f t="shared" si="60"/>
        <v>0</v>
      </c>
      <c r="AN40" s="121">
        <f t="shared" si="60"/>
        <v>0</v>
      </c>
      <c r="AO40" s="121">
        <f t="shared" si="60"/>
        <v>0</v>
      </c>
      <c r="AP40" s="121">
        <f t="shared" si="60"/>
        <v>0</v>
      </c>
      <c r="AQ40" s="121">
        <f t="shared" si="60"/>
        <v>0</v>
      </c>
      <c r="AR40" s="122">
        <f t="shared" si="60"/>
        <v>0</v>
      </c>
      <c r="AS40" s="145">
        <f t="shared" si="61"/>
        <v>0</v>
      </c>
      <c r="AT40" s="121">
        <f t="shared" si="61"/>
        <v>1.27</v>
      </c>
      <c r="AU40" s="121">
        <f t="shared" si="61"/>
        <v>0</v>
      </c>
      <c r="AV40" s="121">
        <f t="shared" si="61"/>
        <v>0</v>
      </c>
      <c r="AW40" s="121">
        <f t="shared" si="61"/>
        <v>0</v>
      </c>
      <c r="AX40" s="121">
        <f t="shared" si="61"/>
        <v>0</v>
      </c>
      <c r="AY40" s="121">
        <f t="shared" si="61"/>
        <v>0</v>
      </c>
      <c r="AZ40" s="121">
        <f t="shared" si="61"/>
        <v>0</v>
      </c>
      <c r="BA40" s="121">
        <f t="shared" si="61"/>
        <v>0</v>
      </c>
      <c r="BB40" s="122">
        <f t="shared" si="61"/>
        <v>0</v>
      </c>
      <c r="BC40" s="145">
        <f t="shared" si="27"/>
        <v>0</v>
      </c>
      <c r="BD40" s="192">
        <f t="shared" si="20"/>
        <v>0</v>
      </c>
      <c r="BE40" s="192">
        <f t="shared" si="21"/>
        <v>1.27</v>
      </c>
      <c r="BF40" s="192">
        <f t="shared" si="9"/>
        <v>0</v>
      </c>
      <c r="BG40" s="192">
        <f t="shared" si="22"/>
        <v>0</v>
      </c>
      <c r="BH40" s="192">
        <f t="shared" si="56"/>
        <v>2.54</v>
      </c>
      <c r="BI40" s="192">
        <f t="shared" si="55"/>
        <v>0</v>
      </c>
      <c r="BJ40" s="122"/>
      <c r="BK40" s="123"/>
      <c r="BM40" s="125">
        <f t="shared" si="10"/>
        <v>0</v>
      </c>
      <c r="BN40" s="125">
        <f t="shared" si="24"/>
        <v>0</v>
      </c>
    </row>
    <row r="41" spans="1:66" s="81" customFormat="1" ht="16.5" customHeight="1">
      <c r="A41" s="124" t="str">
        <f t="shared" si="11"/>
        <v>OK</v>
      </c>
      <c r="C41" s="274"/>
      <c r="D41" s="113"/>
      <c r="E41" s="114"/>
      <c r="F41" s="114">
        <f t="shared" si="62"/>
        <v>300</v>
      </c>
      <c r="G41" s="263" t="str">
        <f t="shared" si="62"/>
        <v>HD</v>
      </c>
      <c r="H41" s="115" t="str">
        <f t="shared" si="62"/>
        <v>K-9</v>
      </c>
      <c r="I41" s="117">
        <f t="shared" si="13"/>
        <v>500</v>
      </c>
      <c r="J41" s="116">
        <v>501.85</v>
      </c>
      <c r="K41" s="117">
        <f t="shared" si="14"/>
        <v>1.8500000000000227</v>
      </c>
      <c r="L41" s="118">
        <f t="shared" si="15"/>
        <v>1.86</v>
      </c>
      <c r="M41" s="116">
        <v>8.33</v>
      </c>
      <c r="N41" s="113" t="s">
        <v>262</v>
      </c>
      <c r="O41" s="115" t="str">
        <f t="shared" si="58"/>
        <v>R</v>
      </c>
      <c r="P41" s="238">
        <f t="shared" si="3"/>
        <v>0</v>
      </c>
      <c r="Q41" s="238" t="str">
        <f t="shared" si="63"/>
        <v>A</v>
      </c>
      <c r="R41" s="126">
        <f t="shared" si="16"/>
        <v>307.55</v>
      </c>
      <c r="S41" s="120">
        <v>307.95</v>
      </c>
      <c r="T41" s="126">
        <f t="shared" si="17"/>
        <v>306.48588700000005</v>
      </c>
      <c r="U41" s="264">
        <f t="shared" si="4"/>
        <v>306.63999200000006</v>
      </c>
      <c r="V41" s="117">
        <f t="shared" si="53"/>
        <v>1.0641129999999634</v>
      </c>
      <c r="W41" s="118">
        <f t="shared" si="54"/>
        <v>1.3100079999999252</v>
      </c>
      <c r="X41" s="189">
        <f t="shared" si="5"/>
        <v>1.19</v>
      </c>
      <c r="Y41" s="145">
        <f t="shared" si="59"/>
        <v>0</v>
      </c>
      <c r="Z41" s="121">
        <f t="shared" si="59"/>
        <v>0</v>
      </c>
      <c r="AA41" s="121">
        <f t="shared" si="59"/>
        <v>0</v>
      </c>
      <c r="AB41" s="121">
        <f t="shared" si="59"/>
        <v>0</v>
      </c>
      <c r="AC41" s="121">
        <f t="shared" si="59"/>
        <v>0</v>
      </c>
      <c r="AD41" s="121">
        <f t="shared" si="59"/>
        <v>0</v>
      </c>
      <c r="AE41" s="121">
        <f t="shared" si="59"/>
        <v>0</v>
      </c>
      <c r="AF41" s="121">
        <f t="shared" si="59"/>
        <v>0</v>
      </c>
      <c r="AG41" s="121">
        <f t="shared" si="59"/>
        <v>0</v>
      </c>
      <c r="AH41" s="122">
        <f t="shared" si="59"/>
        <v>0</v>
      </c>
      <c r="AI41" s="145">
        <f t="shared" si="60"/>
        <v>0</v>
      </c>
      <c r="AJ41" s="121">
        <f t="shared" si="60"/>
        <v>0</v>
      </c>
      <c r="AK41" s="121">
        <f t="shared" si="60"/>
        <v>0</v>
      </c>
      <c r="AL41" s="121">
        <f t="shared" si="60"/>
        <v>0</v>
      </c>
      <c r="AM41" s="121">
        <f t="shared" si="60"/>
        <v>0</v>
      </c>
      <c r="AN41" s="121">
        <f t="shared" si="60"/>
        <v>0</v>
      </c>
      <c r="AO41" s="121">
        <f t="shared" si="60"/>
        <v>0</v>
      </c>
      <c r="AP41" s="121">
        <f t="shared" si="60"/>
        <v>0</v>
      </c>
      <c r="AQ41" s="121">
        <f t="shared" si="60"/>
        <v>0</v>
      </c>
      <c r="AR41" s="122">
        <f t="shared" si="60"/>
        <v>0</v>
      </c>
      <c r="AS41" s="145">
        <f t="shared" si="61"/>
        <v>0</v>
      </c>
      <c r="AT41" s="121">
        <f t="shared" si="61"/>
        <v>1.86</v>
      </c>
      <c r="AU41" s="121">
        <f t="shared" si="61"/>
        <v>0</v>
      </c>
      <c r="AV41" s="121">
        <f t="shared" si="61"/>
        <v>0</v>
      </c>
      <c r="AW41" s="121">
        <f t="shared" si="61"/>
        <v>0</v>
      </c>
      <c r="AX41" s="121">
        <f t="shared" si="61"/>
        <v>0</v>
      </c>
      <c r="AY41" s="121">
        <f t="shared" si="61"/>
        <v>0</v>
      </c>
      <c r="AZ41" s="121">
        <f t="shared" si="61"/>
        <v>0</v>
      </c>
      <c r="BA41" s="121">
        <f t="shared" si="61"/>
        <v>0</v>
      </c>
      <c r="BB41" s="122">
        <f t="shared" si="61"/>
        <v>0</v>
      </c>
      <c r="BC41" s="145">
        <f t="shared" si="27"/>
        <v>0</v>
      </c>
      <c r="BD41" s="192">
        <f t="shared" si="20"/>
        <v>0</v>
      </c>
      <c r="BE41" s="192">
        <f t="shared" si="21"/>
        <v>1.86</v>
      </c>
      <c r="BF41" s="192">
        <f t="shared" si="9"/>
        <v>0</v>
      </c>
      <c r="BG41" s="192">
        <f t="shared" si="22"/>
        <v>1.86</v>
      </c>
      <c r="BH41" s="192">
        <f t="shared" si="56"/>
        <v>0</v>
      </c>
      <c r="BI41" s="192">
        <f t="shared" si="55"/>
        <v>0</v>
      </c>
      <c r="BJ41" s="122"/>
      <c r="BK41" s="123"/>
      <c r="BM41" s="125">
        <f t="shared" si="10"/>
        <v>0</v>
      </c>
      <c r="BN41" s="125">
        <f t="shared" si="24"/>
        <v>0</v>
      </c>
    </row>
    <row r="42" spans="1:66" s="81" customFormat="1" ht="16.5" customHeight="1">
      <c r="A42" s="124" t="str">
        <f t="shared" si="11"/>
        <v>OK</v>
      </c>
      <c r="C42" s="274"/>
      <c r="D42" s="113"/>
      <c r="E42" s="114"/>
      <c r="F42" s="114">
        <f t="shared" si="62"/>
        <v>300</v>
      </c>
      <c r="G42" s="263" t="str">
        <f t="shared" si="62"/>
        <v>HD</v>
      </c>
      <c r="H42" s="115" t="str">
        <f t="shared" si="62"/>
        <v>K-9</v>
      </c>
      <c r="I42" s="117">
        <f t="shared" si="13"/>
        <v>501.85</v>
      </c>
      <c r="J42" s="116">
        <v>506.32</v>
      </c>
      <c r="K42" s="117">
        <f t="shared" si="14"/>
        <v>4.4699999999999704</v>
      </c>
      <c r="L42" s="118">
        <f t="shared" si="15"/>
        <v>5.36</v>
      </c>
      <c r="M42" s="116">
        <v>66.14</v>
      </c>
      <c r="N42" s="113" t="str">
        <f t="shared" si="57"/>
        <v>E</v>
      </c>
      <c r="O42" s="115" t="str">
        <f t="shared" si="58"/>
        <v>R</v>
      </c>
      <c r="P42" s="238">
        <f t="shared" si="3"/>
        <v>0</v>
      </c>
      <c r="Q42" s="238" t="str">
        <f t="shared" si="63"/>
        <v>A</v>
      </c>
      <c r="R42" s="126">
        <f t="shared" si="16"/>
        <v>307.95</v>
      </c>
      <c r="S42" s="120">
        <v>310.35000000000002</v>
      </c>
      <c r="T42" s="126">
        <f t="shared" si="17"/>
        <v>306.63999200000006</v>
      </c>
      <c r="U42" s="264">
        <f t="shared" si="4"/>
        <v>309.59645000000006</v>
      </c>
      <c r="V42" s="117">
        <f t="shared" si="53"/>
        <v>1.3100079999999252</v>
      </c>
      <c r="W42" s="118">
        <f t="shared" si="54"/>
        <v>0.75354999999996153</v>
      </c>
      <c r="X42" s="189">
        <f t="shared" si="5"/>
        <v>1.03</v>
      </c>
      <c r="Y42" s="145">
        <f t="shared" si="59"/>
        <v>0</v>
      </c>
      <c r="Z42" s="121">
        <f t="shared" si="59"/>
        <v>0</v>
      </c>
      <c r="AA42" s="121">
        <f t="shared" si="59"/>
        <v>0</v>
      </c>
      <c r="AB42" s="121">
        <f t="shared" si="59"/>
        <v>0</v>
      </c>
      <c r="AC42" s="121">
        <f t="shared" si="59"/>
        <v>0</v>
      </c>
      <c r="AD42" s="121">
        <f t="shared" si="59"/>
        <v>0</v>
      </c>
      <c r="AE42" s="121">
        <f t="shared" si="59"/>
        <v>0</v>
      </c>
      <c r="AF42" s="121">
        <f t="shared" si="59"/>
        <v>0</v>
      </c>
      <c r="AG42" s="121">
        <f t="shared" si="59"/>
        <v>0</v>
      </c>
      <c r="AH42" s="122">
        <f t="shared" si="59"/>
        <v>0</v>
      </c>
      <c r="AI42" s="145">
        <f t="shared" si="60"/>
        <v>0</v>
      </c>
      <c r="AJ42" s="121">
        <f t="shared" si="60"/>
        <v>0</v>
      </c>
      <c r="AK42" s="121">
        <f t="shared" si="60"/>
        <v>0</v>
      </c>
      <c r="AL42" s="121">
        <f t="shared" si="60"/>
        <v>0</v>
      </c>
      <c r="AM42" s="121">
        <f t="shared" si="60"/>
        <v>0</v>
      </c>
      <c r="AN42" s="121">
        <f t="shared" si="60"/>
        <v>0</v>
      </c>
      <c r="AO42" s="121">
        <f t="shared" si="60"/>
        <v>0</v>
      </c>
      <c r="AP42" s="121">
        <f t="shared" si="60"/>
        <v>0</v>
      </c>
      <c r="AQ42" s="121">
        <f t="shared" si="60"/>
        <v>0</v>
      </c>
      <c r="AR42" s="122">
        <f t="shared" si="60"/>
        <v>0</v>
      </c>
      <c r="AS42" s="145">
        <f t="shared" si="61"/>
        <v>0</v>
      </c>
      <c r="AT42" s="121">
        <f t="shared" si="61"/>
        <v>5.36</v>
      </c>
      <c r="AU42" s="121">
        <f t="shared" si="61"/>
        <v>0</v>
      </c>
      <c r="AV42" s="121">
        <f t="shared" si="61"/>
        <v>0</v>
      </c>
      <c r="AW42" s="121">
        <f t="shared" si="61"/>
        <v>0</v>
      </c>
      <c r="AX42" s="121">
        <f t="shared" si="61"/>
        <v>0</v>
      </c>
      <c r="AY42" s="121">
        <f t="shared" si="61"/>
        <v>0</v>
      </c>
      <c r="AZ42" s="121">
        <f t="shared" si="61"/>
        <v>0</v>
      </c>
      <c r="BA42" s="121">
        <f t="shared" si="61"/>
        <v>0</v>
      </c>
      <c r="BB42" s="122">
        <f t="shared" si="61"/>
        <v>0</v>
      </c>
      <c r="BC42" s="145">
        <f t="shared" si="27"/>
        <v>0</v>
      </c>
      <c r="BD42" s="192">
        <f t="shared" si="20"/>
        <v>0</v>
      </c>
      <c r="BE42" s="192">
        <f t="shared" si="21"/>
        <v>5.36</v>
      </c>
      <c r="BF42" s="192">
        <f t="shared" si="9"/>
        <v>0</v>
      </c>
      <c r="BG42" s="192">
        <f t="shared" si="22"/>
        <v>5.36</v>
      </c>
      <c r="BH42" s="192">
        <f t="shared" si="56"/>
        <v>0</v>
      </c>
      <c r="BI42" s="192">
        <f t="shared" si="55"/>
        <v>0</v>
      </c>
      <c r="BJ42" s="122"/>
      <c r="BK42" s="123"/>
      <c r="BM42" s="125">
        <f t="shared" si="10"/>
        <v>0</v>
      </c>
      <c r="BN42" s="125">
        <f t="shared" si="24"/>
        <v>0</v>
      </c>
    </row>
    <row r="43" spans="1:66" s="81" customFormat="1" ht="16.5" customHeight="1">
      <c r="A43" s="124" t="str">
        <f t="shared" si="11"/>
        <v>OK</v>
      </c>
      <c r="C43" s="274"/>
      <c r="D43" s="113"/>
      <c r="E43" s="114"/>
      <c r="F43" s="114">
        <f t="shared" si="62"/>
        <v>300</v>
      </c>
      <c r="G43" s="263" t="str">
        <f t="shared" si="62"/>
        <v>HD</v>
      </c>
      <c r="H43" s="115" t="str">
        <f t="shared" si="62"/>
        <v>K-9</v>
      </c>
      <c r="I43" s="117">
        <f t="shared" si="13"/>
        <v>506.32</v>
      </c>
      <c r="J43" s="116">
        <v>516.77</v>
      </c>
      <c r="K43" s="117">
        <f t="shared" si="14"/>
        <v>10.449999999999989</v>
      </c>
      <c r="L43" s="118">
        <f t="shared" si="15"/>
        <v>10.52</v>
      </c>
      <c r="M43" s="116">
        <v>11.67</v>
      </c>
      <c r="N43" s="113" t="str">
        <f t="shared" si="57"/>
        <v>E</v>
      </c>
      <c r="O43" s="115" t="str">
        <f t="shared" si="58"/>
        <v>R</v>
      </c>
      <c r="P43" s="238">
        <f t="shared" si="3"/>
        <v>0</v>
      </c>
      <c r="Q43" s="238" t="str">
        <f t="shared" si="63"/>
        <v>A</v>
      </c>
      <c r="R43" s="126">
        <f t="shared" si="16"/>
        <v>310.35000000000002</v>
      </c>
      <c r="S43" s="120">
        <v>311.76</v>
      </c>
      <c r="T43" s="126">
        <f t="shared" si="17"/>
        <v>309.59645000000006</v>
      </c>
      <c r="U43" s="264">
        <f t="shared" si="4"/>
        <v>310.81596500000006</v>
      </c>
      <c r="V43" s="117">
        <f t="shared" si="53"/>
        <v>0.75354999999996153</v>
      </c>
      <c r="W43" s="118">
        <f t="shared" si="54"/>
        <v>0.94403499999992846</v>
      </c>
      <c r="X43" s="189">
        <f t="shared" si="5"/>
        <v>0.85</v>
      </c>
      <c r="Y43" s="145">
        <f t="shared" si="59"/>
        <v>0</v>
      </c>
      <c r="Z43" s="121">
        <f t="shared" si="59"/>
        <v>0</v>
      </c>
      <c r="AA43" s="121">
        <f t="shared" si="59"/>
        <v>0</v>
      </c>
      <c r="AB43" s="121">
        <f t="shared" si="59"/>
        <v>0</v>
      </c>
      <c r="AC43" s="121">
        <f t="shared" si="59"/>
        <v>0</v>
      </c>
      <c r="AD43" s="121">
        <f t="shared" si="59"/>
        <v>0</v>
      </c>
      <c r="AE43" s="121">
        <f t="shared" si="59"/>
        <v>0</v>
      </c>
      <c r="AF43" s="121">
        <f t="shared" si="59"/>
        <v>0</v>
      </c>
      <c r="AG43" s="121">
        <f t="shared" si="59"/>
        <v>0</v>
      </c>
      <c r="AH43" s="122">
        <f t="shared" si="59"/>
        <v>0</v>
      </c>
      <c r="AI43" s="145">
        <f t="shared" si="60"/>
        <v>0</v>
      </c>
      <c r="AJ43" s="121">
        <f t="shared" si="60"/>
        <v>0</v>
      </c>
      <c r="AK43" s="121">
        <f t="shared" si="60"/>
        <v>0</v>
      </c>
      <c r="AL43" s="121">
        <f t="shared" si="60"/>
        <v>0</v>
      </c>
      <c r="AM43" s="121">
        <f t="shared" si="60"/>
        <v>0</v>
      </c>
      <c r="AN43" s="121">
        <f t="shared" si="60"/>
        <v>0</v>
      </c>
      <c r="AO43" s="121">
        <f t="shared" si="60"/>
        <v>0</v>
      </c>
      <c r="AP43" s="121">
        <f t="shared" si="60"/>
        <v>0</v>
      </c>
      <c r="AQ43" s="121">
        <f t="shared" si="60"/>
        <v>0</v>
      </c>
      <c r="AR43" s="122">
        <f t="shared" si="60"/>
        <v>0</v>
      </c>
      <c r="AS43" s="145">
        <f t="shared" si="61"/>
        <v>10.52</v>
      </c>
      <c r="AT43" s="121">
        <f t="shared" si="61"/>
        <v>0</v>
      </c>
      <c r="AU43" s="121">
        <f t="shared" si="61"/>
        <v>0</v>
      </c>
      <c r="AV43" s="121">
        <f t="shared" si="61"/>
        <v>0</v>
      </c>
      <c r="AW43" s="121">
        <f t="shared" si="61"/>
        <v>0</v>
      </c>
      <c r="AX43" s="121">
        <f t="shared" si="61"/>
        <v>0</v>
      </c>
      <c r="AY43" s="121">
        <f t="shared" si="61"/>
        <v>0</v>
      </c>
      <c r="AZ43" s="121">
        <f t="shared" si="61"/>
        <v>0</v>
      </c>
      <c r="BA43" s="121">
        <f t="shared" si="61"/>
        <v>0</v>
      </c>
      <c r="BB43" s="122">
        <f t="shared" si="61"/>
        <v>0</v>
      </c>
      <c r="BC43" s="145">
        <f t="shared" si="27"/>
        <v>0</v>
      </c>
      <c r="BD43" s="192">
        <f t="shared" si="20"/>
        <v>0</v>
      </c>
      <c r="BE43" s="192">
        <f t="shared" si="21"/>
        <v>10.52</v>
      </c>
      <c r="BF43" s="192">
        <f t="shared" si="9"/>
        <v>0</v>
      </c>
      <c r="BG43" s="192">
        <f t="shared" si="22"/>
        <v>10.52</v>
      </c>
      <c r="BH43" s="192">
        <f t="shared" si="56"/>
        <v>0</v>
      </c>
      <c r="BI43" s="192">
        <f t="shared" si="55"/>
        <v>0</v>
      </c>
      <c r="BJ43" s="122"/>
      <c r="BK43" s="123"/>
      <c r="BM43" s="125">
        <f t="shared" si="10"/>
        <v>0</v>
      </c>
      <c r="BN43" s="125">
        <f t="shared" si="24"/>
        <v>0</v>
      </c>
    </row>
    <row r="44" spans="1:66" s="81" customFormat="1" ht="16.5" customHeight="1">
      <c r="A44" s="124" t="str">
        <f t="shared" si="11"/>
        <v>OK</v>
      </c>
      <c r="C44" s="274"/>
      <c r="D44" s="113"/>
      <c r="E44" s="114"/>
      <c r="F44" s="114">
        <f t="shared" si="62"/>
        <v>300</v>
      </c>
      <c r="G44" s="263" t="str">
        <f t="shared" si="62"/>
        <v>HD</v>
      </c>
      <c r="H44" s="115" t="str">
        <f t="shared" si="62"/>
        <v>K-9</v>
      </c>
      <c r="I44" s="117">
        <f t="shared" si="13"/>
        <v>516.77</v>
      </c>
      <c r="J44" s="116">
        <v>519.71</v>
      </c>
      <c r="K44" s="117">
        <f t="shared" si="14"/>
        <v>2.9400000000000546</v>
      </c>
      <c r="L44" s="118">
        <f t="shared" si="15"/>
        <v>3.51</v>
      </c>
      <c r="M44" s="116">
        <v>64.97</v>
      </c>
      <c r="N44" s="113" t="str">
        <f t="shared" si="57"/>
        <v>E</v>
      </c>
      <c r="O44" s="115" t="str">
        <f t="shared" si="58"/>
        <v>R</v>
      </c>
      <c r="P44" s="238">
        <f t="shared" si="3"/>
        <v>0</v>
      </c>
      <c r="Q44" s="238" t="str">
        <f t="shared" si="63"/>
        <v>A</v>
      </c>
      <c r="R44" s="126">
        <f t="shared" si="16"/>
        <v>311.76</v>
      </c>
      <c r="S44" s="120">
        <v>313.74</v>
      </c>
      <c r="T44" s="126">
        <f t="shared" si="17"/>
        <v>310.81596500000006</v>
      </c>
      <c r="U44" s="264">
        <f t="shared" si="4"/>
        <v>312.72608300000007</v>
      </c>
      <c r="V44" s="117">
        <f t="shared" si="53"/>
        <v>0.94403499999992846</v>
      </c>
      <c r="W44" s="118">
        <f t="shared" si="54"/>
        <v>1.0139169999999353</v>
      </c>
      <c r="X44" s="189">
        <f t="shared" si="5"/>
        <v>0.98</v>
      </c>
      <c r="Y44" s="145">
        <f t="shared" si="59"/>
        <v>0</v>
      </c>
      <c r="Z44" s="121">
        <f t="shared" si="59"/>
        <v>0</v>
      </c>
      <c r="AA44" s="121">
        <f t="shared" si="59"/>
        <v>0</v>
      </c>
      <c r="AB44" s="121">
        <f t="shared" si="59"/>
        <v>0</v>
      </c>
      <c r="AC44" s="121">
        <f t="shared" si="59"/>
        <v>0</v>
      </c>
      <c r="AD44" s="121">
        <f t="shared" si="59"/>
        <v>0</v>
      </c>
      <c r="AE44" s="121">
        <f t="shared" si="59"/>
        <v>0</v>
      </c>
      <c r="AF44" s="121">
        <f t="shared" si="59"/>
        <v>0</v>
      </c>
      <c r="AG44" s="121">
        <f t="shared" si="59"/>
        <v>0</v>
      </c>
      <c r="AH44" s="122">
        <f t="shared" si="59"/>
        <v>0</v>
      </c>
      <c r="AI44" s="145">
        <f t="shared" si="60"/>
        <v>0</v>
      </c>
      <c r="AJ44" s="121">
        <f t="shared" si="60"/>
        <v>0</v>
      </c>
      <c r="AK44" s="121">
        <f t="shared" si="60"/>
        <v>0</v>
      </c>
      <c r="AL44" s="121">
        <f t="shared" si="60"/>
        <v>0</v>
      </c>
      <c r="AM44" s="121">
        <f t="shared" si="60"/>
        <v>0</v>
      </c>
      <c r="AN44" s="121">
        <f t="shared" si="60"/>
        <v>0</v>
      </c>
      <c r="AO44" s="121">
        <f t="shared" si="60"/>
        <v>0</v>
      </c>
      <c r="AP44" s="121">
        <f t="shared" si="60"/>
        <v>0</v>
      </c>
      <c r="AQ44" s="121">
        <f t="shared" si="60"/>
        <v>0</v>
      </c>
      <c r="AR44" s="122">
        <f t="shared" si="60"/>
        <v>0</v>
      </c>
      <c r="AS44" s="145">
        <f t="shared" si="61"/>
        <v>3.51</v>
      </c>
      <c r="AT44" s="121">
        <f t="shared" si="61"/>
        <v>0</v>
      </c>
      <c r="AU44" s="121">
        <f t="shared" si="61"/>
        <v>0</v>
      </c>
      <c r="AV44" s="121">
        <f t="shared" si="61"/>
        <v>0</v>
      </c>
      <c r="AW44" s="121">
        <f t="shared" si="61"/>
        <v>0</v>
      </c>
      <c r="AX44" s="121">
        <f t="shared" si="61"/>
        <v>0</v>
      </c>
      <c r="AY44" s="121">
        <f t="shared" si="61"/>
        <v>0</v>
      </c>
      <c r="AZ44" s="121">
        <f t="shared" si="61"/>
        <v>0</v>
      </c>
      <c r="BA44" s="121">
        <f t="shared" si="61"/>
        <v>0</v>
      </c>
      <c r="BB44" s="122">
        <f t="shared" si="61"/>
        <v>0</v>
      </c>
      <c r="BC44" s="145">
        <f t="shared" si="27"/>
        <v>0</v>
      </c>
      <c r="BD44" s="192">
        <f t="shared" si="20"/>
        <v>0</v>
      </c>
      <c r="BE44" s="192">
        <f t="shared" si="21"/>
        <v>3.51</v>
      </c>
      <c r="BF44" s="192">
        <f t="shared" si="9"/>
        <v>0</v>
      </c>
      <c r="BG44" s="192">
        <f t="shared" si="22"/>
        <v>3.51</v>
      </c>
      <c r="BH44" s="192">
        <f t="shared" si="56"/>
        <v>0</v>
      </c>
      <c r="BI44" s="192">
        <f t="shared" si="55"/>
        <v>0</v>
      </c>
      <c r="BJ44" s="122"/>
      <c r="BK44" s="123"/>
      <c r="BM44" s="125">
        <f t="shared" si="10"/>
        <v>0</v>
      </c>
      <c r="BN44" s="125">
        <f t="shared" si="24"/>
        <v>0</v>
      </c>
    </row>
    <row r="45" spans="1:66" s="81" customFormat="1" ht="16.5" customHeight="1">
      <c r="A45" s="124" t="str">
        <f t="shared" si="11"/>
        <v>OK</v>
      </c>
      <c r="C45" s="274"/>
      <c r="D45" s="113"/>
      <c r="E45" s="114"/>
      <c r="F45" s="114">
        <f t="shared" si="62"/>
        <v>300</v>
      </c>
      <c r="G45" s="263" t="str">
        <f t="shared" si="62"/>
        <v>HD</v>
      </c>
      <c r="H45" s="115" t="str">
        <f t="shared" si="62"/>
        <v>K-9</v>
      </c>
      <c r="I45" s="117">
        <f t="shared" si="13"/>
        <v>519.71</v>
      </c>
      <c r="J45" s="116">
        <f>+J44+2.75</f>
        <v>522.46</v>
      </c>
      <c r="K45" s="117">
        <f t="shared" si="14"/>
        <v>2.75</v>
      </c>
      <c r="L45" s="118">
        <f t="shared" si="15"/>
        <v>2.92</v>
      </c>
      <c r="M45" s="116">
        <v>35.71</v>
      </c>
      <c r="N45" s="113" t="str">
        <f t="shared" si="57"/>
        <v>E</v>
      </c>
      <c r="O45" s="115" t="str">
        <f t="shared" si="58"/>
        <v>R</v>
      </c>
      <c r="P45" s="238">
        <f t="shared" si="3"/>
        <v>0</v>
      </c>
      <c r="Q45" s="238" t="str">
        <f t="shared" si="63"/>
        <v>A</v>
      </c>
      <c r="R45" s="126">
        <f t="shared" si="16"/>
        <v>313.74</v>
      </c>
      <c r="S45" s="120">
        <v>317.60000000000002</v>
      </c>
      <c r="T45" s="126">
        <f t="shared" si="17"/>
        <v>312.72608300000007</v>
      </c>
      <c r="U45" s="264">
        <f t="shared" si="4"/>
        <v>313.7081080000001</v>
      </c>
      <c r="V45" s="117">
        <f t="shared" si="53"/>
        <v>1.0139169999999353</v>
      </c>
      <c r="W45" s="118">
        <f t="shared" si="54"/>
        <v>3.8918919999999275</v>
      </c>
      <c r="X45" s="189">
        <f t="shared" si="5"/>
        <v>2.4500000000000002</v>
      </c>
      <c r="Y45" s="145">
        <f t="shared" si="59"/>
        <v>0</v>
      </c>
      <c r="Z45" s="121">
        <f t="shared" si="59"/>
        <v>0</v>
      </c>
      <c r="AA45" s="121">
        <f t="shared" si="59"/>
        <v>0</v>
      </c>
      <c r="AB45" s="121">
        <f t="shared" si="59"/>
        <v>0</v>
      </c>
      <c r="AC45" s="121">
        <f t="shared" si="59"/>
        <v>0</v>
      </c>
      <c r="AD45" s="121">
        <f t="shared" si="59"/>
        <v>0</v>
      </c>
      <c r="AE45" s="121">
        <f t="shared" si="59"/>
        <v>0</v>
      </c>
      <c r="AF45" s="121">
        <f t="shared" si="59"/>
        <v>0</v>
      </c>
      <c r="AG45" s="121">
        <f t="shared" si="59"/>
        <v>0</v>
      </c>
      <c r="AH45" s="122">
        <f t="shared" si="59"/>
        <v>0</v>
      </c>
      <c r="AI45" s="145">
        <f t="shared" si="60"/>
        <v>0</v>
      </c>
      <c r="AJ45" s="121">
        <f t="shared" si="60"/>
        <v>0</v>
      </c>
      <c r="AK45" s="121">
        <f t="shared" si="60"/>
        <v>0</v>
      </c>
      <c r="AL45" s="121">
        <f t="shared" si="60"/>
        <v>0</v>
      </c>
      <c r="AM45" s="121">
        <f t="shared" si="60"/>
        <v>0</v>
      </c>
      <c r="AN45" s="121">
        <f t="shared" si="60"/>
        <v>0</v>
      </c>
      <c r="AO45" s="121">
        <f t="shared" si="60"/>
        <v>0</v>
      </c>
      <c r="AP45" s="121">
        <f t="shared" si="60"/>
        <v>0</v>
      </c>
      <c r="AQ45" s="121">
        <f t="shared" si="60"/>
        <v>0</v>
      </c>
      <c r="AR45" s="122">
        <f t="shared" si="60"/>
        <v>0</v>
      </c>
      <c r="AS45" s="145">
        <f t="shared" si="61"/>
        <v>0</v>
      </c>
      <c r="AT45" s="121">
        <f t="shared" si="61"/>
        <v>0</v>
      </c>
      <c r="AU45" s="121">
        <f t="shared" si="61"/>
        <v>0</v>
      </c>
      <c r="AV45" s="121">
        <f t="shared" si="61"/>
        <v>0</v>
      </c>
      <c r="AW45" s="121">
        <f t="shared" si="61"/>
        <v>0</v>
      </c>
      <c r="AX45" s="121">
        <f t="shared" si="61"/>
        <v>2.92</v>
      </c>
      <c r="AY45" s="121">
        <f t="shared" si="61"/>
        <v>0</v>
      </c>
      <c r="AZ45" s="121">
        <f t="shared" si="61"/>
        <v>0</v>
      </c>
      <c r="BA45" s="121">
        <f t="shared" si="61"/>
        <v>0</v>
      </c>
      <c r="BB45" s="122">
        <f t="shared" si="61"/>
        <v>0</v>
      </c>
      <c r="BC45" s="145">
        <f t="shared" si="27"/>
        <v>0</v>
      </c>
      <c r="BD45" s="192">
        <f t="shared" si="20"/>
        <v>0</v>
      </c>
      <c r="BE45" s="192">
        <f t="shared" si="21"/>
        <v>2.92</v>
      </c>
      <c r="BF45" s="192">
        <f t="shared" si="9"/>
        <v>0</v>
      </c>
      <c r="BG45" s="192">
        <f t="shared" si="22"/>
        <v>2.92</v>
      </c>
      <c r="BH45" s="192">
        <f t="shared" si="56"/>
        <v>0</v>
      </c>
      <c r="BI45" s="192">
        <f t="shared" si="55"/>
        <v>0</v>
      </c>
      <c r="BJ45" s="122"/>
      <c r="BK45" s="123"/>
      <c r="BM45" s="125">
        <f t="shared" si="10"/>
        <v>0</v>
      </c>
      <c r="BN45" s="125">
        <f t="shared" si="24"/>
        <v>0</v>
      </c>
    </row>
    <row r="46" spans="1:66" s="81" customFormat="1" ht="16.5" customHeight="1">
      <c r="A46" s="124" t="str">
        <f t="shared" si="11"/>
        <v>NO</v>
      </c>
      <c r="C46" s="274"/>
      <c r="D46" s="113"/>
      <c r="E46" s="114"/>
      <c r="F46" s="114">
        <f t="shared" ref="F46:H46" si="64">+F45</f>
        <v>300</v>
      </c>
      <c r="G46" s="263" t="str">
        <f t="shared" si="64"/>
        <v>HD</v>
      </c>
      <c r="H46" s="115" t="str">
        <f t="shared" si="64"/>
        <v>K-9</v>
      </c>
      <c r="I46" s="117">
        <f t="shared" ref="I46:I52" si="65">J45</f>
        <v>522.46</v>
      </c>
      <c r="J46" s="116">
        <v>522.79</v>
      </c>
      <c r="K46" s="117">
        <f t="shared" si="14"/>
        <v>0.32999999999992724</v>
      </c>
      <c r="L46" s="118">
        <f t="shared" ref="L46:L52" si="66">+ROUND(K46*SQRT((M46/100)^2+1),2)</f>
        <v>0.35</v>
      </c>
      <c r="M46" s="116">
        <v>35.71</v>
      </c>
      <c r="N46" s="113" t="s">
        <v>216</v>
      </c>
      <c r="O46" s="115" t="str">
        <f t="shared" si="58"/>
        <v>R</v>
      </c>
      <c r="P46" s="238">
        <f t="shared" ref="P46:P52" si="67">+IF(O46="N",IF(X46&gt;1.75,"E",0),0)</f>
        <v>0</v>
      </c>
      <c r="Q46" s="238" t="str">
        <f t="shared" si="63"/>
        <v>A</v>
      </c>
      <c r="R46" s="126">
        <f t="shared" ref="R46:R52" si="68">S45</f>
        <v>317.60000000000002</v>
      </c>
      <c r="S46" s="120">
        <v>320.39999999999998</v>
      </c>
      <c r="T46" s="126">
        <f t="shared" ref="T46:T52" si="69">U45</f>
        <v>313.7081080000001</v>
      </c>
      <c r="U46" s="264">
        <f t="shared" si="4"/>
        <v>313.82595100000009</v>
      </c>
      <c r="V46" s="117">
        <f t="shared" si="53"/>
        <v>3.8918919999999275</v>
      </c>
      <c r="W46" s="118">
        <f t="shared" si="54"/>
        <v>6.5740489999998886</v>
      </c>
      <c r="X46" s="189">
        <f t="shared" ref="X46:X52" si="70">ROUND(AVERAGE(V46:W46),2)</f>
        <v>5.23</v>
      </c>
      <c r="Y46" s="145">
        <f t="shared" si="59"/>
        <v>0</v>
      </c>
      <c r="Z46" s="121">
        <f t="shared" si="59"/>
        <v>0</v>
      </c>
      <c r="AA46" s="121">
        <f t="shared" si="59"/>
        <v>0</v>
      </c>
      <c r="AB46" s="121">
        <f t="shared" si="59"/>
        <v>0</v>
      </c>
      <c r="AC46" s="121">
        <f t="shared" si="59"/>
        <v>0</v>
      </c>
      <c r="AD46" s="121">
        <f t="shared" si="59"/>
        <v>0</v>
      </c>
      <c r="AE46" s="121">
        <f t="shared" si="59"/>
        <v>0</v>
      </c>
      <c r="AF46" s="121">
        <f t="shared" si="59"/>
        <v>0</v>
      </c>
      <c r="AG46" s="121">
        <f t="shared" si="59"/>
        <v>0</v>
      </c>
      <c r="AH46" s="122">
        <f t="shared" si="59"/>
        <v>0</v>
      </c>
      <c r="AI46" s="145">
        <f t="shared" si="60"/>
        <v>0</v>
      </c>
      <c r="AJ46" s="121">
        <f t="shared" si="60"/>
        <v>0</v>
      </c>
      <c r="AK46" s="121">
        <f t="shared" si="60"/>
        <v>0</v>
      </c>
      <c r="AL46" s="121">
        <f t="shared" si="60"/>
        <v>0</v>
      </c>
      <c r="AM46" s="121">
        <f t="shared" si="60"/>
        <v>0</v>
      </c>
      <c r="AN46" s="121">
        <f t="shared" si="60"/>
        <v>0</v>
      </c>
      <c r="AO46" s="121">
        <f t="shared" si="60"/>
        <v>0</v>
      </c>
      <c r="AP46" s="121">
        <f t="shared" si="60"/>
        <v>0</v>
      </c>
      <c r="AQ46" s="121">
        <f t="shared" si="60"/>
        <v>0</v>
      </c>
      <c r="AR46" s="122">
        <f t="shared" si="60"/>
        <v>0</v>
      </c>
      <c r="AS46" s="145">
        <f t="shared" si="61"/>
        <v>0</v>
      </c>
      <c r="AT46" s="121">
        <f t="shared" si="61"/>
        <v>0</v>
      </c>
      <c r="AU46" s="121">
        <f t="shared" si="61"/>
        <v>0</v>
      </c>
      <c r="AV46" s="121">
        <f t="shared" si="61"/>
        <v>0</v>
      </c>
      <c r="AW46" s="121">
        <f t="shared" si="61"/>
        <v>0</v>
      </c>
      <c r="AX46" s="121">
        <f t="shared" si="61"/>
        <v>0</v>
      </c>
      <c r="AY46" s="121">
        <f t="shared" si="61"/>
        <v>0</v>
      </c>
      <c r="AZ46" s="121">
        <f t="shared" si="61"/>
        <v>0</v>
      </c>
      <c r="BA46" s="121">
        <f t="shared" si="61"/>
        <v>0</v>
      </c>
      <c r="BB46" s="122">
        <f t="shared" si="61"/>
        <v>0</v>
      </c>
      <c r="BC46" s="145">
        <f t="shared" ref="BC46:BC52" si="71">+IF(N46="SP",L46,0)</f>
        <v>0.35</v>
      </c>
      <c r="BD46" s="192">
        <f t="shared" ref="BD46:BD52" si="72">+IF(P46="E",L46,0)</f>
        <v>0</v>
      </c>
      <c r="BE46" s="192">
        <f t="shared" ref="BE46:BE52" si="73">+IF(Q46="A",L46,0)</f>
        <v>0.35</v>
      </c>
      <c r="BF46" s="192">
        <f t="shared" si="9"/>
        <v>0</v>
      </c>
      <c r="BG46" s="192">
        <f t="shared" si="22"/>
        <v>0</v>
      </c>
      <c r="BH46" s="192">
        <f t="shared" si="56"/>
        <v>0</v>
      </c>
      <c r="BI46" s="192">
        <f t="shared" si="55"/>
        <v>0</v>
      </c>
      <c r="BJ46" s="122"/>
      <c r="BK46" s="123"/>
      <c r="BM46" s="125">
        <f t="shared" ref="BM46:BM52" si="74">+IF(N46="AF",L46,0)</f>
        <v>0</v>
      </c>
      <c r="BN46" s="125">
        <f t="shared" ref="BN46:BN52" si="75">+IF(O46="SP",K46,0)</f>
        <v>0</v>
      </c>
    </row>
    <row r="47" spans="1:66" s="81" customFormat="1" ht="16.5" customHeight="1">
      <c r="A47" s="124" t="str">
        <f t="shared" si="11"/>
        <v>OK</v>
      </c>
      <c r="C47" s="274"/>
      <c r="D47" s="113"/>
      <c r="E47" s="114"/>
      <c r="F47" s="114">
        <f t="shared" ref="F47:H47" si="76">+F46</f>
        <v>300</v>
      </c>
      <c r="G47" s="263" t="str">
        <f t="shared" si="76"/>
        <v>HD</v>
      </c>
      <c r="H47" s="115" t="str">
        <f t="shared" si="76"/>
        <v>K-9</v>
      </c>
      <c r="I47" s="117">
        <f t="shared" si="65"/>
        <v>522.79</v>
      </c>
      <c r="J47" s="116">
        <v>524.37</v>
      </c>
      <c r="K47" s="117">
        <f t="shared" si="14"/>
        <v>1.5800000000000409</v>
      </c>
      <c r="L47" s="118">
        <f t="shared" si="66"/>
        <v>4.0199999999999996</v>
      </c>
      <c r="M47" s="116">
        <v>234.18</v>
      </c>
      <c r="N47" s="113" t="str">
        <f t="shared" si="57"/>
        <v>SP</v>
      </c>
      <c r="O47" s="115" t="str">
        <f t="shared" si="58"/>
        <v>R</v>
      </c>
      <c r="P47" s="238">
        <f t="shared" si="67"/>
        <v>0</v>
      </c>
      <c r="Q47" s="238" t="str">
        <f t="shared" si="63"/>
        <v>A</v>
      </c>
      <c r="R47" s="126">
        <f t="shared" si="68"/>
        <v>320.39999999999998</v>
      </c>
      <c r="S47" s="120">
        <v>318.55</v>
      </c>
      <c r="T47" s="126">
        <f t="shared" si="69"/>
        <v>313.82595100000009</v>
      </c>
      <c r="U47" s="264">
        <f t="shared" si="4"/>
        <v>317.52599500000019</v>
      </c>
      <c r="V47" s="117">
        <f t="shared" si="53"/>
        <v>6.5740489999998886</v>
      </c>
      <c r="W47" s="118">
        <f t="shared" si="54"/>
        <v>1.0240049999998178</v>
      </c>
      <c r="X47" s="189">
        <f t="shared" si="70"/>
        <v>3.8</v>
      </c>
      <c r="Y47" s="145">
        <f t="shared" si="59"/>
        <v>0</v>
      </c>
      <c r="Z47" s="121">
        <f t="shared" si="59"/>
        <v>0</v>
      </c>
      <c r="AA47" s="121">
        <f t="shared" si="59"/>
        <v>0</v>
      </c>
      <c r="AB47" s="121">
        <f t="shared" si="59"/>
        <v>0</v>
      </c>
      <c r="AC47" s="121">
        <f t="shared" si="59"/>
        <v>0</v>
      </c>
      <c r="AD47" s="121">
        <f t="shared" si="59"/>
        <v>0</v>
      </c>
      <c r="AE47" s="121">
        <f t="shared" si="59"/>
        <v>0</v>
      </c>
      <c r="AF47" s="121">
        <f t="shared" si="59"/>
        <v>0</v>
      </c>
      <c r="AG47" s="121">
        <f t="shared" si="59"/>
        <v>0</v>
      </c>
      <c r="AH47" s="122">
        <f t="shared" si="59"/>
        <v>0</v>
      </c>
      <c r="AI47" s="145">
        <f t="shared" si="60"/>
        <v>0</v>
      </c>
      <c r="AJ47" s="121">
        <f t="shared" si="60"/>
        <v>0</v>
      </c>
      <c r="AK47" s="121">
        <f t="shared" si="60"/>
        <v>0</v>
      </c>
      <c r="AL47" s="121">
        <f t="shared" si="60"/>
        <v>0</v>
      </c>
      <c r="AM47" s="121">
        <f t="shared" si="60"/>
        <v>0</v>
      </c>
      <c r="AN47" s="121">
        <f t="shared" si="60"/>
        <v>0</v>
      </c>
      <c r="AO47" s="121">
        <f t="shared" si="60"/>
        <v>0</v>
      </c>
      <c r="AP47" s="121">
        <f t="shared" si="60"/>
        <v>0</v>
      </c>
      <c r="AQ47" s="121">
        <f t="shared" si="60"/>
        <v>0</v>
      </c>
      <c r="AR47" s="122">
        <f t="shared" si="60"/>
        <v>0</v>
      </c>
      <c r="AS47" s="145">
        <f t="shared" si="61"/>
        <v>0</v>
      </c>
      <c r="AT47" s="121">
        <f t="shared" si="61"/>
        <v>0</v>
      </c>
      <c r="AU47" s="121">
        <f t="shared" si="61"/>
        <v>0</v>
      </c>
      <c r="AV47" s="121">
        <f t="shared" si="61"/>
        <v>0</v>
      </c>
      <c r="AW47" s="121">
        <f t="shared" si="61"/>
        <v>0</v>
      </c>
      <c r="AX47" s="121">
        <f t="shared" si="61"/>
        <v>0</v>
      </c>
      <c r="AY47" s="121">
        <f t="shared" si="61"/>
        <v>0</v>
      </c>
      <c r="AZ47" s="121">
        <f t="shared" si="61"/>
        <v>0</v>
      </c>
      <c r="BA47" s="121">
        <f t="shared" si="61"/>
        <v>4.0199999999999996</v>
      </c>
      <c r="BB47" s="122">
        <f t="shared" si="61"/>
        <v>0</v>
      </c>
      <c r="BC47" s="145">
        <f t="shared" si="71"/>
        <v>4.0199999999999996</v>
      </c>
      <c r="BD47" s="192">
        <f t="shared" si="72"/>
        <v>0</v>
      </c>
      <c r="BE47" s="192">
        <f t="shared" si="73"/>
        <v>4.0199999999999996</v>
      </c>
      <c r="BF47" s="192">
        <f t="shared" si="9"/>
        <v>0</v>
      </c>
      <c r="BG47" s="192">
        <f t="shared" si="22"/>
        <v>0</v>
      </c>
      <c r="BH47" s="192">
        <f t="shared" si="56"/>
        <v>0</v>
      </c>
      <c r="BI47" s="192">
        <f t="shared" si="55"/>
        <v>0</v>
      </c>
      <c r="BJ47" s="122"/>
      <c r="BK47" s="123"/>
      <c r="BM47" s="125">
        <f t="shared" si="74"/>
        <v>0</v>
      </c>
      <c r="BN47" s="125">
        <f t="shared" si="75"/>
        <v>0</v>
      </c>
    </row>
    <row r="48" spans="1:66" s="81" customFormat="1" ht="16.5" customHeight="1">
      <c r="A48" s="124" t="str">
        <f t="shared" si="11"/>
        <v>OK</v>
      </c>
      <c r="C48" s="274"/>
      <c r="D48" s="113"/>
      <c r="E48" s="114"/>
      <c r="F48" s="114">
        <f t="shared" ref="F48:H48" si="77">+F47</f>
        <v>300</v>
      </c>
      <c r="G48" s="263" t="str">
        <f t="shared" si="77"/>
        <v>HD</v>
      </c>
      <c r="H48" s="115" t="str">
        <f t="shared" si="77"/>
        <v>K-9</v>
      </c>
      <c r="I48" s="117">
        <f t="shared" si="65"/>
        <v>524.37</v>
      </c>
      <c r="J48" s="116">
        <v>550.52</v>
      </c>
      <c r="K48" s="117">
        <f t="shared" si="14"/>
        <v>26.149999999999977</v>
      </c>
      <c r="L48" s="118">
        <f t="shared" si="66"/>
        <v>28.37</v>
      </c>
      <c r="M48" s="116">
        <v>42.08</v>
      </c>
      <c r="N48" s="113" t="str">
        <f t="shared" si="57"/>
        <v>SP</v>
      </c>
      <c r="O48" s="115" t="str">
        <f t="shared" si="58"/>
        <v>R</v>
      </c>
      <c r="P48" s="238">
        <f t="shared" si="67"/>
        <v>0</v>
      </c>
      <c r="Q48" s="238" t="str">
        <f t="shared" si="63"/>
        <v>A</v>
      </c>
      <c r="R48" s="126">
        <f t="shared" si="68"/>
        <v>318.55</v>
      </c>
      <c r="S48" s="120">
        <v>329.52</v>
      </c>
      <c r="T48" s="126">
        <f t="shared" si="69"/>
        <v>317.52599500000019</v>
      </c>
      <c r="U48" s="264">
        <f t="shared" si="4"/>
        <v>328.52991500000019</v>
      </c>
      <c r="V48" s="117">
        <f t="shared" si="53"/>
        <v>1.0240049999998178</v>
      </c>
      <c r="W48" s="118">
        <f t="shared" si="54"/>
        <v>0.99008499999979449</v>
      </c>
      <c r="X48" s="189">
        <f t="shared" si="70"/>
        <v>1.01</v>
      </c>
      <c r="Y48" s="145">
        <f t="shared" si="59"/>
        <v>0</v>
      </c>
      <c r="Z48" s="121">
        <f t="shared" si="59"/>
        <v>0</v>
      </c>
      <c r="AA48" s="121">
        <f t="shared" si="59"/>
        <v>0</v>
      </c>
      <c r="AB48" s="121">
        <f t="shared" si="59"/>
        <v>0</v>
      </c>
      <c r="AC48" s="121">
        <f t="shared" si="59"/>
        <v>0</v>
      </c>
      <c r="AD48" s="121">
        <f t="shared" si="59"/>
        <v>0</v>
      </c>
      <c r="AE48" s="121">
        <f t="shared" si="59"/>
        <v>0</v>
      </c>
      <c r="AF48" s="121">
        <f t="shared" si="59"/>
        <v>0</v>
      </c>
      <c r="AG48" s="121">
        <f t="shared" si="59"/>
        <v>0</v>
      </c>
      <c r="AH48" s="122">
        <f t="shared" si="59"/>
        <v>0</v>
      </c>
      <c r="AI48" s="145">
        <f t="shared" si="60"/>
        <v>0</v>
      </c>
      <c r="AJ48" s="121">
        <f t="shared" si="60"/>
        <v>0</v>
      </c>
      <c r="AK48" s="121">
        <f t="shared" si="60"/>
        <v>0</v>
      </c>
      <c r="AL48" s="121">
        <f t="shared" si="60"/>
        <v>0</v>
      </c>
      <c r="AM48" s="121">
        <f t="shared" si="60"/>
        <v>0</v>
      </c>
      <c r="AN48" s="121">
        <f t="shared" si="60"/>
        <v>0</v>
      </c>
      <c r="AO48" s="121">
        <f t="shared" si="60"/>
        <v>0</v>
      </c>
      <c r="AP48" s="121">
        <f t="shared" si="60"/>
        <v>0</v>
      </c>
      <c r="AQ48" s="121">
        <f t="shared" si="60"/>
        <v>0</v>
      </c>
      <c r="AR48" s="122">
        <f t="shared" si="60"/>
        <v>0</v>
      </c>
      <c r="AS48" s="145">
        <f t="shared" si="61"/>
        <v>0</v>
      </c>
      <c r="AT48" s="121">
        <f t="shared" si="61"/>
        <v>28.37</v>
      </c>
      <c r="AU48" s="121">
        <f t="shared" si="61"/>
        <v>0</v>
      </c>
      <c r="AV48" s="121">
        <f t="shared" si="61"/>
        <v>0</v>
      </c>
      <c r="AW48" s="121">
        <f t="shared" si="61"/>
        <v>0</v>
      </c>
      <c r="AX48" s="121">
        <f t="shared" si="61"/>
        <v>0</v>
      </c>
      <c r="AY48" s="121">
        <f t="shared" si="61"/>
        <v>0</v>
      </c>
      <c r="AZ48" s="121">
        <f t="shared" si="61"/>
        <v>0</v>
      </c>
      <c r="BA48" s="121">
        <f t="shared" si="61"/>
        <v>0</v>
      </c>
      <c r="BB48" s="122">
        <f t="shared" si="61"/>
        <v>0</v>
      </c>
      <c r="BC48" s="145">
        <f t="shared" si="71"/>
        <v>28.37</v>
      </c>
      <c r="BD48" s="192">
        <f t="shared" si="72"/>
        <v>0</v>
      </c>
      <c r="BE48" s="192">
        <f t="shared" si="73"/>
        <v>28.37</v>
      </c>
      <c r="BF48" s="192">
        <f t="shared" si="9"/>
        <v>0</v>
      </c>
      <c r="BG48" s="192">
        <f t="shared" si="22"/>
        <v>0</v>
      </c>
      <c r="BH48" s="192">
        <f t="shared" si="56"/>
        <v>0</v>
      </c>
      <c r="BI48" s="192">
        <f t="shared" si="55"/>
        <v>0</v>
      </c>
      <c r="BJ48" s="122"/>
      <c r="BK48" s="123"/>
      <c r="BM48" s="125">
        <f t="shared" si="74"/>
        <v>0</v>
      </c>
      <c r="BN48" s="125">
        <f t="shared" si="75"/>
        <v>0</v>
      </c>
    </row>
    <row r="49" spans="1:74" s="81" customFormat="1" ht="16.5" customHeight="1">
      <c r="A49" s="124" t="str">
        <f t="shared" si="11"/>
        <v>OK</v>
      </c>
      <c r="C49" s="274"/>
      <c r="D49" s="113"/>
      <c r="E49" s="114"/>
      <c r="F49" s="114">
        <f t="shared" ref="F49:H49" si="78">+F48</f>
        <v>300</v>
      </c>
      <c r="G49" s="263" t="str">
        <f t="shared" si="78"/>
        <v>HD</v>
      </c>
      <c r="H49" s="115" t="str">
        <f t="shared" si="78"/>
        <v>K-9</v>
      </c>
      <c r="I49" s="117">
        <f t="shared" si="65"/>
        <v>550.52</v>
      </c>
      <c r="J49" s="116">
        <v>564.71</v>
      </c>
      <c r="K49" s="117">
        <f t="shared" si="14"/>
        <v>14.190000000000055</v>
      </c>
      <c r="L49" s="118">
        <f t="shared" si="66"/>
        <v>14.88</v>
      </c>
      <c r="M49" s="116">
        <v>31.64</v>
      </c>
      <c r="N49" s="113" t="str">
        <f t="shared" si="57"/>
        <v>SP</v>
      </c>
      <c r="O49" s="115" t="str">
        <f t="shared" si="58"/>
        <v>R</v>
      </c>
      <c r="P49" s="238">
        <f t="shared" si="67"/>
        <v>0</v>
      </c>
      <c r="Q49" s="238" t="str">
        <f t="shared" si="63"/>
        <v>A</v>
      </c>
      <c r="R49" s="126">
        <f t="shared" si="68"/>
        <v>329.52</v>
      </c>
      <c r="S49" s="120">
        <v>334.05</v>
      </c>
      <c r="T49" s="126">
        <f t="shared" si="69"/>
        <v>328.52991500000019</v>
      </c>
      <c r="U49" s="264">
        <f t="shared" si="4"/>
        <v>333.01963100000023</v>
      </c>
      <c r="V49" s="117">
        <f t="shared" si="53"/>
        <v>0.99008499999979449</v>
      </c>
      <c r="W49" s="118">
        <f t="shared" si="54"/>
        <v>1.03036899999978</v>
      </c>
      <c r="X49" s="189">
        <f t="shared" si="70"/>
        <v>1.01</v>
      </c>
      <c r="Y49" s="145">
        <f t="shared" si="59"/>
        <v>0</v>
      </c>
      <c r="Z49" s="121">
        <f t="shared" si="59"/>
        <v>0</v>
      </c>
      <c r="AA49" s="121">
        <f t="shared" si="59"/>
        <v>0</v>
      </c>
      <c r="AB49" s="121">
        <f t="shared" si="59"/>
        <v>0</v>
      </c>
      <c r="AC49" s="121">
        <f t="shared" si="59"/>
        <v>0</v>
      </c>
      <c r="AD49" s="121">
        <f t="shared" si="59"/>
        <v>0</v>
      </c>
      <c r="AE49" s="121">
        <f t="shared" si="59"/>
        <v>0</v>
      </c>
      <c r="AF49" s="121">
        <f t="shared" si="59"/>
        <v>0</v>
      </c>
      <c r="AG49" s="121">
        <f t="shared" si="59"/>
        <v>0</v>
      </c>
      <c r="AH49" s="122">
        <f t="shared" si="59"/>
        <v>0</v>
      </c>
      <c r="AI49" s="145">
        <f t="shared" si="60"/>
        <v>0</v>
      </c>
      <c r="AJ49" s="121">
        <f t="shared" si="60"/>
        <v>0</v>
      </c>
      <c r="AK49" s="121">
        <f t="shared" si="60"/>
        <v>0</v>
      </c>
      <c r="AL49" s="121">
        <f t="shared" si="60"/>
        <v>0</v>
      </c>
      <c r="AM49" s="121">
        <f t="shared" si="60"/>
        <v>0</v>
      </c>
      <c r="AN49" s="121">
        <f t="shared" si="60"/>
        <v>0</v>
      </c>
      <c r="AO49" s="121">
        <f t="shared" si="60"/>
        <v>0</v>
      </c>
      <c r="AP49" s="121">
        <f t="shared" si="60"/>
        <v>0</v>
      </c>
      <c r="AQ49" s="121">
        <f t="shared" si="60"/>
        <v>0</v>
      </c>
      <c r="AR49" s="122">
        <f t="shared" si="60"/>
        <v>0</v>
      </c>
      <c r="AS49" s="145">
        <f t="shared" si="61"/>
        <v>0</v>
      </c>
      <c r="AT49" s="121">
        <f t="shared" si="61"/>
        <v>14.88</v>
      </c>
      <c r="AU49" s="121">
        <f t="shared" si="61"/>
        <v>0</v>
      </c>
      <c r="AV49" s="121">
        <f t="shared" si="61"/>
        <v>0</v>
      </c>
      <c r="AW49" s="121">
        <f t="shared" si="61"/>
        <v>0</v>
      </c>
      <c r="AX49" s="121">
        <f t="shared" si="61"/>
        <v>0</v>
      </c>
      <c r="AY49" s="121">
        <f t="shared" si="61"/>
        <v>0</v>
      </c>
      <c r="AZ49" s="121">
        <f t="shared" si="61"/>
        <v>0</v>
      </c>
      <c r="BA49" s="121">
        <f t="shared" si="61"/>
        <v>0</v>
      </c>
      <c r="BB49" s="122">
        <f t="shared" si="61"/>
        <v>0</v>
      </c>
      <c r="BC49" s="145">
        <f t="shared" si="71"/>
        <v>14.88</v>
      </c>
      <c r="BD49" s="192">
        <f t="shared" si="72"/>
        <v>0</v>
      </c>
      <c r="BE49" s="192">
        <f t="shared" si="73"/>
        <v>14.88</v>
      </c>
      <c r="BF49" s="192">
        <f t="shared" si="9"/>
        <v>0</v>
      </c>
      <c r="BG49" s="192">
        <f t="shared" si="22"/>
        <v>0</v>
      </c>
      <c r="BH49" s="192">
        <f t="shared" si="56"/>
        <v>0</v>
      </c>
      <c r="BI49" s="192">
        <f t="shared" si="55"/>
        <v>0</v>
      </c>
      <c r="BJ49" s="122"/>
      <c r="BK49" s="123"/>
      <c r="BM49" s="125">
        <f t="shared" si="74"/>
        <v>0</v>
      </c>
      <c r="BN49" s="125">
        <f t="shared" si="75"/>
        <v>0</v>
      </c>
    </row>
    <row r="50" spans="1:74" s="81" customFormat="1" ht="16.5" customHeight="1">
      <c r="A50" s="124" t="str">
        <f t="shared" si="11"/>
        <v>OK</v>
      </c>
      <c r="C50" s="274"/>
      <c r="D50" s="113"/>
      <c r="E50" s="114"/>
      <c r="F50" s="114">
        <f t="shared" ref="F50:H50" si="79">+F49</f>
        <v>300</v>
      </c>
      <c r="G50" s="263" t="str">
        <f t="shared" si="79"/>
        <v>HD</v>
      </c>
      <c r="H50" s="115" t="str">
        <f t="shared" si="79"/>
        <v>K-9</v>
      </c>
      <c r="I50" s="117">
        <f t="shared" si="65"/>
        <v>564.71</v>
      </c>
      <c r="J50" s="116">
        <v>576.37</v>
      </c>
      <c r="K50" s="117">
        <f t="shared" si="14"/>
        <v>11.659999999999968</v>
      </c>
      <c r="L50" s="118">
        <f t="shared" si="66"/>
        <v>11.66</v>
      </c>
      <c r="M50" s="116">
        <v>2.06</v>
      </c>
      <c r="N50" s="113" t="str">
        <f t="shared" si="57"/>
        <v>SP</v>
      </c>
      <c r="O50" s="115" t="str">
        <f t="shared" si="58"/>
        <v>R</v>
      </c>
      <c r="P50" s="238">
        <f t="shared" si="67"/>
        <v>0</v>
      </c>
      <c r="Q50" s="238" t="str">
        <f t="shared" si="63"/>
        <v>A</v>
      </c>
      <c r="R50" s="126">
        <f t="shared" si="68"/>
        <v>334.05</v>
      </c>
      <c r="S50" s="120">
        <v>335.07</v>
      </c>
      <c r="T50" s="126">
        <f t="shared" si="69"/>
        <v>333.01963100000023</v>
      </c>
      <c r="U50" s="264">
        <f t="shared" si="4"/>
        <v>333.25982700000026</v>
      </c>
      <c r="V50" s="117">
        <f t="shared" si="53"/>
        <v>1.03036899999978</v>
      </c>
      <c r="W50" s="118">
        <f t="shared" si="54"/>
        <v>1.810172999999736</v>
      </c>
      <c r="X50" s="189">
        <f t="shared" si="70"/>
        <v>1.42</v>
      </c>
      <c r="Y50" s="145">
        <f t="shared" si="59"/>
        <v>0</v>
      </c>
      <c r="Z50" s="121">
        <f t="shared" si="59"/>
        <v>0</v>
      </c>
      <c r="AA50" s="121">
        <f t="shared" si="59"/>
        <v>0</v>
      </c>
      <c r="AB50" s="121">
        <f t="shared" si="59"/>
        <v>0</v>
      </c>
      <c r="AC50" s="121">
        <f t="shared" si="59"/>
        <v>0</v>
      </c>
      <c r="AD50" s="121">
        <f t="shared" si="59"/>
        <v>0</v>
      </c>
      <c r="AE50" s="121">
        <f t="shared" si="59"/>
        <v>0</v>
      </c>
      <c r="AF50" s="121">
        <f t="shared" si="59"/>
        <v>0</v>
      </c>
      <c r="AG50" s="121">
        <f t="shared" si="59"/>
        <v>0</v>
      </c>
      <c r="AH50" s="122">
        <f t="shared" si="59"/>
        <v>0</v>
      </c>
      <c r="AI50" s="145">
        <f t="shared" si="60"/>
        <v>0</v>
      </c>
      <c r="AJ50" s="121">
        <f t="shared" si="60"/>
        <v>0</v>
      </c>
      <c r="AK50" s="121">
        <f t="shared" si="60"/>
        <v>0</v>
      </c>
      <c r="AL50" s="121">
        <f t="shared" si="60"/>
        <v>0</v>
      </c>
      <c r="AM50" s="121">
        <f t="shared" si="60"/>
        <v>0</v>
      </c>
      <c r="AN50" s="121">
        <f t="shared" si="60"/>
        <v>0</v>
      </c>
      <c r="AO50" s="121">
        <f t="shared" si="60"/>
        <v>0</v>
      </c>
      <c r="AP50" s="121">
        <f t="shared" si="60"/>
        <v>0</v>
      </c>
      <c r="AQ50" s="121">
        <f t="shared" si="60"/>
        <v>0</v>
      </c>
      <c r="AR50" s="122">
        <f t="shared" si="60"/>
        <v>0</v>
      </c>
      <c r="AS50" s="145">
        <f t="shared" si="61"/>
        <v>0</v>
      </c>
      <c r="AT50" s="121">
        <f t="shared" si="61"/>
        <v>0</v>
      </c>
      <c r="AU50" s="121">
        <f t="shared" si="61"/>
        <v>11.66</v>
      </c>
      <c r="AV50" s="121">
        <f t="shared" si="61"/>
        <v>0</v>
      </c>
      <c r="AW50" s="121">
        <f t="shared" si="61"/>
        <v>0</v>
      </c>
      <c r="AX50" s="121">
        <f t="shared" si="61"/>
        <v>0</v>
      </c>
      <c r="AY50" s="121">
        <f t="shared" si="61"/>
        <v>0</v>
      </c>
      <c r="AZ50" s="121">
        <f t="shared" si="61"/>
        <v>0</v>
      </c>
      <c r="BA50" s="121">
        <f t="shared" si="61"/>
        <v>0</v>
      </c>
      <c r="BB50" s="122">
        <f t="shared" si="61"/>
        <v>0</v>
      </c>
      <c r="BC50" s="145">
        <f t="shared" si="71"/>
        <v>11.66</v>
      </c>
      <c r="BD50" s="192">
        <f t="shared" si="72"/>
        <v>0</v>
      </c>
      <c r="BE50" s="192">
        <f t="shared" si="73"/>
        <v>11.66</v>
      </c>
      <c r="BF50" s="192">
        <f t="shared" si="9"/>
        <v>0</v>
      </c>
      <c r="BG50" s="192">
        <f t="shared" si="22"/>
        <v>0</v>
      </c>
      <c r="BH50" s="192">
        <f t="shared" si="56"/>
        <v>0</v>
      </c>
      <c r="BI50" s="192">
        <f t="shared" si="55"/>
        <v>0</v>
      </c>
      <c r="BJ50" s="122"/>
      <c r="BK50" s="123"/>
      <c r="BM50" s="125">
        <f t="shared" si="74"/>
        <v>0</v>
      </c>
      <c r="BN50" s="125">
        <f t="shared" si="75"/>
        <v>0</v>
      </c>
    </row>
    <row r="51" spans="1:74" s="81" customFormat="1" ht="16.5" customHeight="1">
      <c r="A51" s="124" t="str">
        <f t="shared" si="11"/>
        <v>OK</v>
      </c>
      <c r="C51" s="274"/>
      <c r="D51" s="113"/>
      <c r="E51" s="114"/>
      <c r="F51" s="114">
        <f t="shared" ref="F51:H51" si="80">+F50</f>
        <v>300</v>
      </c>
      <c r="G51" s="263" t="str">
        <f t="shared" si="80"/>
        <v>HD</v>
      </c>
      <c r="H51" s="115" t="str">
        <f t="shared" si="80"/>
        <v>K-9</v>
      </c>
      <c r="I51" s="117">
        <f t="shared" si="65"/>
        <v>576.37</v>
      </c>
      <c r="J51" s="116">
        <v>581.47</v>
      </c>
      <c r="K51" s="117">
        <f t="shared" si="14"/>
        <v>5.1000000000000227</v>
      </c>
      <c r="L51" s="118">
        <f t="shared" si="66"/>
        <v>5.19</v>
      </c>
      <c r="M51" s="116">
        <v>19.22</v>
      </c>
      <c r="N51" s="113" t="str">
        <f t="shared" si="57"/>
        <v>SP</v>
      </c>
      <c r="O51" s="115" t="str">
        <f t="shared" si="58"/>
        <v>R</v>
      </c>
      <c r="P51" s="238">
        <f t="shared" si="67"/>
        <v>0</v>
      </c>
      <c r="Q51" s="238" t="str">
        <f t="shared" si="63"/>
        <v>A</v>
      </c>
      <c r="R51" s="126">
        <f t="shared" si="68"/>
        <v>335.07</v>
      </c>
      <c r="S51" s="120">
        <v>335.31</v>
      </c>
      <c r="T51" s="126">
        <f t="shared" si="69"/>
        <v>333.25982700000026</v>
      </c>
      <c r="U51" s="264">
        <f t="shared" si="4"/>
        <v>334.24004700000029</v>
      </c>
      <c r="V51" s="117">
        <f t="shared" si="53"/>
        <v>1.810172999999736</v>
      </c>
      <c r="W51" s="118">
        <f t="shared" si="54"/>
        <v>1.0699529999997139</v>
      </c>
      <c r="X51" s="189">
        <f t="shared" si="70"/>
        <v>1.44</v>
      </c>
      <c r="Y51" s="145">
        <f t="shared" si="59"/>
        <v>0</v>
      </c>
      <c r="Z51" s="121">
        <f t="shared" si="59"/>
        <v>0</v>
      </c>
      <c r="AA51" s="121">
        <f t="shared" si="59"/>
        <v>0</v>
      </c>
      <c r="AB51" s="121">
        <f t="shared" si="59"/>
        <v>0</v>
      </c>
      <c r="AC51" s="121">
        <f t="shared" si="59"/>
        <v>0</v>
      </c>
      <c r="AD51" s="121">
        <f t="shared" si="59"/>
        <v>0</v>
      </c>
      <c r="AE51" s="121">
        <f t="shared" si="59"/>
        <v>0</v>
      </c>
      <c r="AF51" s="121">
        <f t="shared" si="59"/>
        <v>0</v>
      </c>
      <c r="AG51" s="121">
        <f t="shared" si="59"/>
        <v>0</v>
      </c>
      <c r="AH51" s="122">
        <f t="shared" si="59"/>
        <v>0</v>
      </c>
      <c r="AI51" s="145">
        <f t="shared" si="60"/>
        <v>0</v>
      </c>
      <c r="AJ51" s="121">
        <f t="shared" si="60"/>
        <v>0</v>
      </c>
      <c r="AK51" s="121">
        <f t="shared" si="60"/>
        <v>0</v>
      </c>
      <c r="AL51" s="121">
        <f t="shared" si="60"/>
        <v>0</v>
      </c>
      <c r="AM51" s="121">
        <f t="shared" si="60"/>
        <v>0</v>
      </c>
      <c r="AN51" s="121">
        <f t="shared" si="60"/>
        <v>0</v>
      </c>
      <c r="AO51" s="121">
        <f t="shared" si="60"/>
        <v>0</v>
      </c>
      <c r="AP51" s="121">
        <f t="shared" si="60"/>
        <v>0</v>
      </c>
      <c r="AQ51" s="121">
        <f t="shared" si="60"/>
        <v>0</v>
      </c>
      <c r="AR51" s="122">
        <f t="shared" si="60"/>
        <v>0</v>
      </c>
      <c r="AS51" s="145">
        <f t="shared" si="61"/>
        <v>0</v>
      </c>
      <c r="AT51" s="121">
        <f t="shared" si="61"/>
        <v>0</v>
      </c>
      <c r="AU51" s="121">
        <f t="shared" si="61"/>
        <v>5.19</v>
      </c>
      <c r="AV51" s="121">
        <f t="shared" si="61"/>
        <v>0</v>
      </c>
      <c r="AW51" s="121">
        <f t="shared" si="61"/>
        <v>0</v>
      </c>
      <c r="AX51" s="121">
        <f t="shared" si="61"/>
        <v>0</v>
      </c>
      <c r="AY51" s="121">
        <f t="shared" si="61"/>
        <v>0</v>
      </c>
      <c r="AZ51" s="121">
        <f t="shared" si="61"/>
        <v>0</v>
      </c>
      <c r="BA51" s="121">
        <f t="shared" si="61"/>
        <v>0</v>
      </c>
      <c r="BB51" s="122">
        <f t="shared" si="61"/>
        <v>0</v>
      </c>
      <c r="BC51" s="145">
        <f t="shared" si="71"/>
        <v>5.19</v>
      </c>
      <c r="BD51" s="192">
        <f t="shared" si="72"/>
        <v>0</v>
      </c>
      <c r="BE51" s="192">
        <f t="shared" si="73"/>
        <v>5.19</v>
      </c>
      <c r="BF51" s="192">
        <f t="shared" si="9"/>
        <v>0</v>
      </c>
      <c r="BG51" s="192">
        <f t="shared" si="22"/>
        <v>0</v>
      </c>
      <c r="BH51" s="192">
        <f t="shared" si="56"/>
        <v>0</v>
      </c>
      <c r="BI51" s="192">
        <f t="shared" si="55"/>
        <v>0</v>
      </c>
      <c r="BJ51" s="122"/>
      <c r="BK51" s="123"/>
      <c r="BM51" s="125">
        <f t="shared" si="74"/>
        <v>0</v>
      </c>
      <c r="BN51" s="125">
        <f t="shared" si="75"/>
        <v>0</v>
      </c>
    </row>
    <row r="52" spans="1:74" s="81" customFormat="1" ht="16.5" customHeight="1">
      <c r="A52" s="124" t="str">
        <f t="shared" si="11"/>
        <v>OK</v>
      </c>
      <c r="C52" s="274"/>
      <c r="D52" s="113"/>
      <c r="E52" s="114"/>
      <c r="F52" s="114">
        <f t="shared" ref="F52:H53" si="81">+F51</f>
        <v>300</v>
      </c>
      <c r="G52" s="263" t="str">
        <f t="shared" si="81"/>
        <v>HD</v>
      </c>
      <c r="H52" s="115" t="str">
        <f t="shared" si="81"/>
        <v>K-9</v>
      </c>
      <c r="I52" s="117">
        <f t="shared" si="65"/>
        <v>581.47</v>
      </c>
      <c r="J52" s="116">
        <v>588.63</v>
      </c>
      <c r="K52" s="117">
        <f t="shared" si="14"/>
        <v>7.1599999999999682</v>
      </c>
      <c r="L52" s="118">
        <f t="shared" si="66"/>
        <v>7.2</v>
      </c>
      <c r="M52" s="116">
        <v>10.89</v>
      </c>
      <c r="N52" s="113" t="str">
        <f t="shared" si="57"/>
        <v>SP</v>
      </c>
      <c r="O52" s="115" t="str">
        <f t="shared" si="58"/>
        <v>R</v>
      </c>
      <c r="P52" s="238">
        <f t="shared" si="67"/>
        <v>0</v>
      </c>
      <c r="Q52" s="238" t="str">
        <f t="shared" si="63"/>
        <v>A</v>
      </c>
      <c r="R52" s="126">
        <f t="shared" si="68"/>
        <v>335.31</v>
      </c>
      <c r="S52" s="120">
        <v>337.7</v>
      </c>
      <c r="T52" s="126">
        <f t="shared" si="69"/>
        <v>334.24004700000029</v>
      </c>
      <c r="U52" s="264">
        <f t="shared" si="4"/>
        <v>335.01977100000028</v>
      </c>
      <c r="V52" s="117">
        <f t="shared" si="53"/>
        <v>1.0699529999997139</v>
      </c>
      <c r="W52" s="118">
        <f t="shared" si="54"/>
        <v>2.6802289999997129</v>
      </c>
      <c r="X52" s="189">
        <f t="shared" si="70"/>
        <v>1.88</v>
      </c>
      <c r="Y52" s="145">
        <f t="shared" si="59"/>
        <v>0</v>
      </c>
      <c r="Z52" s="121">
        <f t="shared" si="59"/>
        <v>0</v>
      </c>
      <c r="AA52" s="121">
        <f t="shared" si="59"/>
        <v>0</v>
      </c>
      <c r="AB52" s="121">
        <f t="shared" si="59"/>
        <v>0</v>
      </c>
      <c r="AC52" s="121">
        <f t="shared" si="59"/>
        <v>0</v>
      </c>
      <c r="AD52" s="121">
        <f t="shared" si="59"/>
        <v>0</v>
      </c>
      <c r="AE52" s="121">
        <f t="shared" si="59"/>
        <v>0</v>
      </c>
      <c r="AF52" s="121">
        <f t="shared" si="59"/>
        <v>0</v>
      </c>
      <c r="AG52" s="121">
        <f t="shared" si="59"/>
        <v>0</v>
      </c>
      <c r="AH52" s="122">
        <f t="shared" si="59"/>
        <v>0</v>
      </c>
      <c r="AI52" s="145">
        <f t="shared" si="60"/>
        <v>0</v>
      </c>
      <c r="AJ52" s="121">
        <f t="shared" si="60"/>
        <v>0</v>
      </c>
      <c r="AK52" s="121">
        <f t="shared" si="60"/>
        <v>0</v>
      </c>
      <c r="AL52" s="121">
        <f t="shared" si="60"/>
        <v>0</v>
      </c>
      <c r="AM52" s="121">
        <f t="shared" si="60"/>
        <v>0</v>
      </c>
      <c r="AN52" s="121">
        <f t="shared" si="60"/>
        <v>0</v>
      </c>
      <c r="AO52" s="121">
        <f t="shared" si="60"/>
        <v>0</v>
      </c>
      <c r="AP52" s="121">
        <f t="shared" si="60"/>
        <v>0</v>
      </c>
      <c r="AQ52" s="121">
        <f t="shared" si="60"/>
        <v>0</v>
      </c>
      <c r="AR52" s="122">
        <f t="shared" si="60"/>
        <v>0</v>
      </c>
      <c r="AS52" s="145">
        <f t="shared" si="61"/>
        <v>0</v>
      </c>
      <c r="AT52" s="121">
        <f t="shared" si="61"/>
        <v>0</v>
      </c>
      <c r="AU52" s="121">
        <f t="shared" si="61"/>
        <v>0</v>
      </c>
      <c r="AV52" s="121">
        <f t="shared" si="61"/>
        <v>0</v>
      </c>
      <c r="AW52" s="121">
        <f t="shared" si="61"/>
        <v>7.2</v>
      </c>
      <c r="AX52" s="121">
        <f t="shared" si="61"/>
        <v>0</v>
      </c>
      <c r="AY52" s="121">
        <f t="shared" si="61"/>
        <v>0</v>
      </c>
      <c r="AZ52" s="121">
        <f t="shared" si="61"/>
        <v>0</v>
      </c>
      <c r="BA52" s="121">
        <f t="shared" si="61"/>
        <v>0</v>
      </c>
      <c r="BB52" s="122">
        <f t="shared" si="61"/>
        <v>0</v>
      </c>
      <c r="BC52" s="145">
        <f t="shared" si="71"/>
        <v>7.2</v>
      </c>
      <c r="BD52" s="192">
        <f t="shared" si="72"/>
        <v>0</v>
      </c>
      <c r="BE52" s="192">
        <f t="shared" si="73"/>
        <v>7.2</v>
      </c>
      <c r="BF52" s="192">
        <f t="shared" si="9"/>
        <v>0</v>
      </c>
      <c r="BG52" s="192">
        <f t="shared" si="22"/>
        <v>0</v>
      </c>
      <c r="BH52" s="192">
        <f t="shared" si="56"/>
        <v>0</v>
      </c>
      <c r="BI52" s="192">
        <f t="shared" si="55"/>
        <v>0</v>
      </c>
      <c r="BJ52" s="122"/>
      <c r="BK52" s="123"/>
      <c r="BM52" s="125">
        <f t="shared" si="74"/>
        <v>0</v>
      </c>
      <c r="BN52" s="125">
        <f t="shared" si="75"/>
        <v>0</v>
      </c>
    </row>
    <row r="53" spans="1:74" s="81" customFormat="1" ht="16.5" customHeight="1">
      <c r="A53" s="124" t="str">
        <f t="shared" si="11"/>
        <v>OK</v>
      </c>
      <c r="C53" s="274"/>
      <c r="D53" s="113"/>
      <c r="E53" s="114"/>
      <c r="F53" s="114">
        <f t="shared" si="81"/>
        <v>300</v>
      </c>
      <c r="G53" s="263" t="str">
        <f t="shared" si="81"/>
        <v>HD</v>
      </c>
      <c r="H53" s="115" t="str">
        <f t="shared" si="81"/>
        <v>K-9</v>
      </c>
      <c r="I53" s="117">
        <f t="shared" ref="I53" si="82">J52</f>
        <v>588.63</v>
      </c>
      <c r="J53" s="116">
        <v>595.33000000000004</v>
      </c>
      <c r="K53" s="117">
        <f t="shared" si="14"/>
        <v>6.7000000000000455</v>
      </c>
      <c r="L53" s="118">
        <f t="shared" ref="L53" si="83">+ROUND(K53*SQRT((M53/100)^2+1),2)</f>
        <v>7.44</v>
      </c>
      <c r="M53" s="116">
        <v>48.21</v>
      </c>
      <c r="N53" s="113" t="str">
        <f t="shared" ref="N53" si="84">+N52</f>
        <v>SP</v>
      </c>
      <c r="O53" s="115" t="str">
        <f t="shared" ref="O53" si="85">+O52</f>
        <v>R</v>
      </c>
      <c r="P53" s="238">
        <f t="shared" ref="P53" si="86">+IF(O53="N",IF(X53&gt;1.75,"E",0),0)</f>
        <v>0</v>
      </c>
      <c r="Q53" s="238" t="str">
        <f t="shared" si="63"/>
        <v>A</v>
      </c>
      <c r="R53" s="126">
        <f t="shared" ref="R53" si="87">S52</f>
        <v>337.7</v>
      </c>
      <c r="S53" s="120">
        <v>339.94</v>
      </c>
      <c r="T53" s="126">
        <f t="shared" ref="T53" si="88">U52</f>
        <v>335.01977100000028</v>
      </c>
      <c r="U53" s="264">
        <f t="shared" si="4"/>
        <v>338.24984100000029</v>
      </c>
      <c r="V53" s="117">
        <f t="shared" si="53"/>
        <v>2.6802289999997129</v>
      </c>
      <c r="W53" s="118">
        <f t="shared" si="54"/>
        <v>1.69015899999971</v>
      </c>
      <c r="X53" s="189">
        <f t="shared" ref="X53" si="89">ROUND(AVERAGE(V53:W53),2)</f>
        <v>2.19</v>
      </c>
      <c r="Y53" s="145">
        <f t="shared" si="59"/>
        <v>0</v>
      </c>
      <c r="Z53" s="121">
        <f t="shared" si="59"/>
        <v>0</v>
      </c>
      <c r="AA53" s="121">
        <f t="shared" si="59"/>
        <v>0</v>
      </c>
      <c r="AB53" s="121">
        <f t="shared" si="59"/>
        <v>0</v>
      </c>
      <c r="AC53" s="121">
        <f t="shared" si="59"/>
        <v>0</v>
      </c>
      <c r="AD53" s="121">
        <f t="shared" si="59"/>
        <v>0</v>
      </c>
      <c r="AE53" s="121">
        <f t="shared" si="59"/>
        <v>0</v>
      </c>
      <c r="AF53" s="121">
        <f t="shared" si="59"/>
        <v>0</v>
      </c>
      <c r="AG53" s="121">
        <f t="shared" si="59"/>
        <v>0</v>
      </c>
      <c r="AH53" s="122">
        <f t="shared" si="59"/>
        <v>0</v>
      </c>
      <c r="AI53" s="145">
        <f t="shared" si="60"/>
        <v>0</v>
      </c>
      <c r="AJ53" s="121">
        <f t="shared" si="60"/>
        <v>0</v>
      </c>
      <c r="AK53" s="121">
        <f t="shared" si="60"/>
        <v>0</v>
      </c>
      <c r="AL53" s="121">
        <f t="shared" si="60"/>
        <v>0</v>
      </c>
      <c r="AM53" s="121">
        <f t="shared" si="60"/>
        <v>0</v>
      </c>
      <c r="AN53" s="121">
        <f t="shared" si="60"/>
        <v>0</v>
      </c>
      <c r="AO53" s="121">
        <f t="shared" si="60"/>
        <v>0</v>
      </c>
      <c r="AP53" s="121">
        <f t="shared" si="60"/>
        <v>0</v>
      </c>
      <c r="AQ53" s="121">
        <f t="shared" si="60"/>
        <v>0</v>
      </c>
      <c r="AR53" s="122">
        <f t="shared" si="60"/>
        <v>0</v>
      </c>
      <c r="AS53" s="145">
        <f t="shared" si="61"/>
        <v>0</v>
      </c>
      <c r="AT53" s="121">
        <f t="shared" si="61"/>
        <v>0</v>
      </c>
      <c r="AU53" s="121">
        <f t="shared" si="61"/>
        <v>0</v>
      </c>
      <c r="AV53" s="121">
        <f t="shared" si="61"/>
        <v>0</v>
      </c>
      <c r="AW53" s="121">
        <f t="shared" si="61"/>
        <v>0</v>
      </c>
      <c r="AX53" s="121">
        <f t="shared" si="61"/>
        <v>7.44</v>
      </c>
      <c r="AY53" s="121">
        <f t="shared" si="61"/>
        <v>0</v>
      </c>
      <c r="AZ53" s="121">
        <f t="shared" si="61"/>
        <v>0</v>
      </c>
      <c r="BA53" s="121">
        <f t="shared" si="61"/>
        <v>0</v>
      </c>
      <c r="BB53" s="122">
        <f t="shared" si="61"/>
        <v>0</v>
      </c>
      <c r="BC53" s="145">
        <f t="shared" ref="BC53" si="90">+IF(N53="SP",L53,0)</f>
        <v>7.44</v>
      </c>
      <c r="BD53" s="192">
        <f t="shared" ref="BD53" si="91">+IF(P53="E",L53,0)</f>
        <v>0</v>
      </c>
      <c r="BE53" s="192">
        <f t="shared" ref="BE53" si="92">+IF(Q53="A",L53,0)</f>
        <v>7.44</v>
      </c>
      <c r="BF53" s="192">
        <f t="shared" si="9"/>
        <v>0</v>
      </c>
      <c r="BG53" s="192">
        <f t="shared" si="22"/>
        <v>0</v>
      </c>
      <c r="BH53" s="192">
        <f t="shared" si="56"/>
        <v>0</v>
      </c>
      <c r="BI53" s="192">
        <f t="shared" si="55"/>
        <v>0</v>
      </c>
      <c r="BJ53" s="122"/>
      <c r="BK53" s="123"/>
      <c r="BM53" s="125">
        <f t="shared" ref="BM53" si="93">+IF(N53="AF",L53,0)</f>
        <v>0</v>
      </c>
      <c r="BN53" s="125">
        <f t="shared" ref="BN53" si="94">+IF(O53="SP",K53,0)</f>
        <v>0</v>
      </c>
    </row>
    <row r="54" spans="1:74" s="81" customFormat="1" ht="12.75" customHeight="1">
      <c r="C54" s="275"/>
      <c r="D54" s="178"/>
      <c r="E54" s="179"/>
      <c r="F54" s="179"/>
      <c r="G54" s="179"/>
      <c r="H54" s="180"/>
      <c r="I54" s="181"/>
      <c r="J54" s="182"/>
      <c r="K54" s="203"/>
      <c r="L54" s="204">
        <f>SUM(L32:L53)</f>
        <v>604.03000000000009</v>
      </c>
      <c r="M54" s="277"/>
      <c r="N54" s="204">
        <f>SUM(N14:N39)</f>
        <v>0</v>
      </c>
      <c r="O54" s="180"/>
      <c r="P54" s="239"/>
      <c r="Q54" s="239"/>
      <c r="R54" s="185"/>
      <c r="S54" s="186"/>
      <c r="T54" s="185"/>
      <c r="U54" s="182"/>
      <c r="V54" s="181"/>
      <c r="W54" s="183"/>
      <c r="X54" s="190"/>
      <c r="Y54" s="220">
        <f>SUM(Y32:Y53)</f>
        <v>0</v>
      </c>
      <c r="Z54" s="221">
        <f t="shared" ref="Z54:BB54" si="95">SUM(Z32:Z53)</f>
        <v>0</v>
      </c>
      <c r="AA54" s="221">
        <f t="shared" si="95"/>
        <v>0</v>
      </c>
      <c r="AB54" s="221">
        <f t="shared" si="95"/>
        <v>0</v>
      </c>
      <c r="AC54" s="221">
        <f t="shared" si="95"/>
        <v>0</v>
      </c>
      <c r="AD54" s="221">
        <f t="shared" si="95"/>
        <v>308.2</v>
      </c>
      <c r="AE54" s="221">
        <f t="shared" si="95"/>
        <v>97.36</v>
      </c>
      <c r="AF54" s="221">
        <f t="shared" si="95"/>
        <v>0</v>
      </c>
      <c r="AG54" s="221">
        <f t="shared" si="95"/>
        <v>0</v>
      </c>
      <c r="AH54" s="222">
        <f t="shared" si="95"/>
        <v>0</v>
      </c>
      <c r="AI54" s="226">
        <f t="shared" si="95"/>
        <v>0</v>
      </c>
      <c r="AJ54" s="227">
        <f t="shared" si="95"/>
        <v>0</v>
      </c>
      <c r="AK54" s="227">
        <f t="shared" si="95"/>
        <v>0</v>
      </c>
      <c r="AL54" s="227">
        <f t="shared" si="95"/>
        <v>0</v>
      </c>
      <c r="AM54" s="227">
        <f t="shared" si="95"/>
        <v>0</v>
      </c>
      <c r="AN54" s="227">
        <f t="shared" si="95"/>
        <v>0</v>
      </c>
      <c r="AO54" s="227">
        <f t="shared" si="95"/>
        <v>0</v>
      </c>
      <c r="AP54" s="227">
        <f t="shared" si="95"/>
        <v>0</v>
      </c>
      <c r="AQ54" s="227">
        <f t="shared" si="95"/>
        <v>0</v>
      </c>
      <c r="AR54" s="228">
        <f t="shared" si="95"/>
        <v>0</v>
      </c>
      <c r="AS54" s="271">
        <f t="shared" si="95"/>
        <v>16.579999999999998</v>
      </c>
      <c r="AT54" s="272">
        <f t="shared" si="95"/>
        <v>60.24</v>
      </c>
      <c r="AU54" s="272">
        <f t="shared" si="95"/>
        <v>16.850000000000001</v>
      </c>
      <c r="AV54" s="272">
        <f t="shared" si="95"/>
        <v>0</v>
      </c>
      <c r="AW54" s="272">
        <f t="shared" si="95"/>
        <v>7.2</v>
      </c>
      <c r="AX54" s="272">
        <f t="shared" si="95"/>
        <v>93.23</v>
      </c>
      <c r="AY54" s="272">
        <f t="shared" si="95"/>
        <v>0</v>
      </c>
      <c r="AZ54" s="272">
        <f t="shared" si="95"/>
        <v>0</v>
      </c>
      <c r="BA54" s="272">
        <f t="shared" si="95"/>
        <v>4.0199999999999996</v>
      </c>
      <c r="BB54" s="273">
        <f t="shared" si="95"/>
        <v>0</v>
      </c>
      <c r="BC54" s="223">
        <f>SUM(BC32:BC53)</f>
        <v>79.11</v>
      </c>
      <c r="BD54" s="224">
        <f t="shared" ref="BD54:BJ54" si="96">SUM(BD32:BD53)</f>
        <v>405.56</v>
      </c>
      <c r="BE54" s="224">
        <f t="shared" si="96"/>
        <v>190.12999999999997</v>
      </c>
      <c r="BF54" s="224">
        <f t="shared" si="96"/>
        <v>365.00399999999996</v>
      </c>
      <c r="BG54" s="224">
        <f t="shared" si="96"/>
        <v>24.17</v>
      </c>
      <c r="BH54" s="224">
        <f t="shared" si="96"/>
        <v>190.38</v>
      </c>
      <c r="BI54" s="224">
        <f t="shared" si="96"/>
        <v>0</v>
      </c>
      <c r="BJ54" s="225">
        <f t="shared" si="96"/>
        <v>0</v>
      </c>
      <c r="BK54" s="123"/>
      <c r="BM54" s="125">
        <f t="shared" si="10"/>
        <v>0</v>
      </c>
      <c r="BN54" s="125"/>
      <c r="BT54" s="246">
        <v>0.2</v>
      </c>
      <c r="BU54" s="246" t="s">
        <v>132</v>
      </c>
      <c r="BV54" s="246">
        <v>0.2</v>
      </c>
    </row>
    <row r="55" spans="1:74" s="81" customFormat="1" ht="6" customHeight="1" thickBot="1">
      <c r="C55" s="127"/>
      <c r="D55" s="128"/>
      <c r="E55" s="129"/>
      <c r="F55" s="129"/>
      <c r="G55" s="129"/>
      <c r="H55" s="130"/>
      <c r="I55" s="131"/>
      <c r="J55" s="132"/>
      <c r="K55" s="131"/>
      <c r="L55" s="133"/>
      <c r="M55" s="134"/>
      <c r="N55" s="128"/>
      <c r="O55" s="130"/>
      <c r="P55" s="240"/>
      <c r="Q55" s="240"/>
      <c r="R55" s="136"/>
      <c r="S55" s="135"/>
      <c r="T55" s="136"/>
      <c r="U55" s="132"/>
      <c r="V55" s="131"/>
      <c r="W55" s="133"/>
      <c r="X55" s="191"/>
      <c r="Y55" s="146"/>
      <c r="Z55" s="137"/>
      <c r="AA55" s="137"/>
      <c r="AB55" s="137"/>
      <c r="AC55" s="137"/>
      <c r="AD55" s="137"/>
      <c r="AE55" s="137"/>
      <c r="AF55" s="137"/>
      <c r="AG55" s="137"/>
      <c r="AH55" s="138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46"/>
      <c r="AT55" s="137"/>
      <c r="AU55" s="137"/>
      <c r="AV55" s="137"/>
      <c r="AW55" s="137"/>
      <c r="AX55" s="137"/>
      <c r="AY55" s="137"/>
      <c r="AZ55" s="137"/>
      <c r="BA55" s="137"/>
      <c r="BB55" s="138"/>
      <c r="BC55" s="146">
        <f>+IF(N55="SP",L55,0)</f>
        <v>0</v>
      </c>
      <c r="BD55" s="233"/>
      <c r="BE55" s="233"/>
      <c r="BF55" s="233"/>
      <c r="BG55" s="233"/>
      <c r="BH55" s="233"/>
      <c r="BI55" s="233"/>
      <c r="BJ55" s="138"/>
      <c r="BK55" s="123"/>
      <c r="BM55" s="125"/>
      <c r="BN55" s="125"/>
    </row>
    <row r="56" spans="1:74" s="81" customFormat="1" ht="12" hidden="1" customHeight="1" thickBot="1">
      <c r="C56" s="150"/>
      <c r="D56" s="151"/>
      <c r="E56" s="151"/>
      <c r="F56" s="151"/>
      <c r="G56" s="151"/>
      <c r="H56" s="151"/>
      <c r="I56" s="125"/>
      <c r="J56" s="152"/>
      <c r="K56" s="153"/>
      <c r="L56" s="153"/>
      <c r="M56" s="154"/>
      <c r="N56" s="151"/>
      <c r="O56" s="151"/>
      <c r="P56" s="151"/>
      <c r="Q56" s="151"/>
      <c r="R56" s="156"/>
      <c r="S56" s="155"/>
      <c r="T56" s="156"/>
      <c r="U56" s="152"/>
      <c r="V56" s="159" t="s">
        <v>171</v>
      </c>
      <c r="W56" s="125"/>
      <c r="X56" s="125"/>
      <c r="Y56" s="123" t="e">
        <f>+#REF!*1.5</f>
        <v>#REF!</v>
      </c>
      <c r="Z56" s="123"/>
      <c r="AA56" s="123"/>
      <c r="AB56" s="123" t="e">
        <f>+#REF!*1.5</f>
        <v>#REF!</v>
      </c>
      <c r="AC56" s="123" t="e">
        <f>+#REF!*1.5</f>
        <v>#REF!</v>
      </c>
      <c r="AD56" s="123" t="e">
        <f>+#REF!*1.5</f>
        <v>#REF!</v>
      </c>
      <c r="AE56" s="123" t="e">
        <f>+#REF!*1.5</f>
        <v>#REF!</v>
      </c>
      <c r="AF56" s="123" t="e">
        <f>+#REF!*1.5</f>
        <v>#REF!</v>
      </c>
      <c r="AG56" s="123" t="e">
        <f>+#REF!*1.5</f>
        <v>#REF!</v>
      </c>
      <c r="AH56" s="123" t="e">
        <f>+#REF!*1.5</f>
        <v>#REF!</v>
      </c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57"/>
      <c r="BD56" s="234"/>
      <c r="BE56" s="234"/>
      <c r="BF56" s="234"/>
      <c r="BG56" s="234"/>
      <c r="BH56" s="234"/>
      <c r="BI56" s="234"/>
      <c r="BJ56" s="158"/>
      <c r="BK56" s="123"/>
      <c r="BM56" s="125"/>
      <c r="BN56" s="125"/>
    </row>
    <row r="57" spans="1:74" s="81" customFormat="1" ht="12" customHeight="1" thickBot="1">
      <c r="C57" s="150"/>
      <c r="D57" s="151"/>
      <c r="E57" s="151"/>
      <c r="F57" s="151"/>
      <c r="G57" s="151"/>
      <c r="H57" s="151"/>
      <c r="I57" s="125"/>
      <c r="J57" s="152"/>
      <c r="K57" s="125"/>
      <c r="L57" s="125"/>
      <c r="M57" s="154"/>
      <c r="N57" s="151"/>
      <c r="O57" s="151"/>
      <c r="P57" s="151"/>
      <c r="Q57" s="151"/>
      <c r="R57" s="156"/>
      <c r="S57" s="155"/>
      <c r="T57" s="156"/>
      <c r="U57" s="152"/>
      <c r="V57" s="159"/>
      <c r="W57" s="125"/>
      <c r="X57" s="125"/>
      <c r="Y57" s="196">
        <f>+Y31+Y54</f>
        <v>0</v>
      </c>
      <c r="Z57" s="197">
        <f>+Z31+Z54</f>
        <v>3.21</v>
      </c>
      <c r="AA57" s="197">
        <f t="shared" ref="AA57:AG57" si="97">+AA31+AA54</f>
        <v>0</v>
      </c>
      <c r="AB57" s="197">
        <f t="shared" si="97"/>
        <v>0</v>
      </c>
      <c r="AC57" s="197">
        <f t="shared" si="97"/>
        <v>0</v>
      </c>
      <c r="AD57" s="197">
        <f t="shared" si="97"/>
        <v>1032.26</v>
      </c>
      <c r="AE57" s="197">
        <f t="shared" si="97"/>
        <v>470.63</v>
      </c>
      <c r="AF57" s="197">
        <f t="shared" si="97"/>
        <v>0</v>
      </c>
      <c r="AG57" s="197">
        <f t="shared" si="97"/>
        <v>0</v>
      </c>
      <c r="AH57" s="198">
        <f>+AH31+AH54</f>
        <v>0</v>
      </c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96">
        <f>+AS31+AS54</f>
        <v>22.31</v>
      </c>
      <c r="AT57" s="197">
        <f>+AT31+AT54</f>
        <v>71.95</v>
      </c>
      <c r="AU57" s="197">
        <f t="shared" ref="AU57:BA57" si="98">+AU31+AU54</f>
        <v>68.789999999999992</v>
      </c>
      <c r="AV57" s="197">
        <f t="shared" si="98"/>
        <v>0</v>
      </c>
      <c r="AW57" s="197">
        <f t="shared" si="98"/>
        <v>7.2</v>
      </c>
      <c r="AX57" s="197">
        <f t="shared" si="98"/>
        <v>131.69</v>
      </c>
      <c r="AY57" s="197">
        <f t="shared" si="98"/>
        <v>1.81</v>
      </c>
      <c r="AZ57" s="197">
        <f t="shared" si="98"/>
        <v>0</v>
      </c>
      <c r="BA57" s="197">
        <f t="shared" si="98"/>
        <v>4.0199999999999996</v>
      </c>
      <c r="BB57" s="198">
        <f>+BB31+BB54</f>
        <v>0</v>
      </c>
      <c r="BC57" s="283"/>
      <c r="BD57" s="123"/>
      <c r="BE57" s="123"/>
      <c r="BF57" s="123"/>
      <c r="BG57" s="123"/>
      <c r="BH57" s="123"/>
      <c r="BI57" s="123"/>
      <c r="BJ57" s="284"/>
      <c r="BK57" s="123"/>
      <c r="BM57" s="125"/>
      <c r="BN57" s="125"/>
    </row>
    <row r="58" spans="1:74" ht="15.75" customHeight="1" thickBot="1">
      <c r="C58" s="67"/>
      <c r="D58" s="67"/>
      <c r="E58" s="67"/>
      <c r="F58" s="67"/>
      <c r="G58" s="67"/>
      <c r="H58" s="67"/>
      <c r="I58" s="69"/>
      <c r="J58" s="76"/>
      <c r="K58" s="69">
        <f>+L8</f>
        <v>0</v>
      </c>
      <c r="L58" s="69"/>
      <c r="M58" s="69"/>
      <c r="N58" s="69"/>
      <c r="O58" s="69"/>
      <c r="P58" s="69"/>
      <c r="Q58" s="67"/>
      <c r="R58" s="68"/>
      <c r="S58" s="68"/>
      <c r="T58" s="68"/>
      <c r="U58" s="69"/>
      <c r="V58" s="69"/>
      <c r="W58" s="69"/>
      <c r="X58" s="149"/>
      <c r="Y58" s="744">
        <f>SUM(Y57:AH57)</f>
        <v>1506.1</v>
      </c>
      <c r="Z58" s="745"/>
      <c r="AA58" s="745"/>
      <c r="AB58" s="745"/>
      <c r="AC58" s="745"/>
      <c r="AD58" s="745"/>
      <c r="AE58" s="745"/>
      <c r="AF58" s="745"/>
      <c r="AG58" s="745"/>
      <c r="AH58" s="746"/>
      <c r="AI58" s="744">
        <f>SUM(AI54:AR54)</f>
        <v>0</v>
      </c>
      <c r="AJ58" s="745"/>
      <c r="AK58" s="745"/>
      <c r="AL58" s="745"/>
      <c r="AM58" s="745"/>
      <c r="AN58" s="745"/>
      <c r="AO58" s="745"/>
      <c r="AP58" s="745"/>
      <c r="AQ58" s="745"/>
      <c r="AR58" s="746"/>
      <c r="AS58" s="744">
        <f>SUM(AS57:BB57)</f>
        <v>307.77</v>
      </c>
      <c r="AT58" s="745"/>
      <c r="AU58" s="745"/>
      <c r="AV58" s="745"/>
      <c r="AW58" s="745"/>
      <c r="AX58" s="745"/>
      <c r="AY58" s="745"/>
      <c r="AZ58" s="745"/>
      <c r="BA58" s="745"/>
      <c r="BB58" s="746"/>
      <c r="BC58" s="260">
        <f>+BC54+BC31</f>
        <v>148.88999999999999</v>
      </c>
      <c r="BD58" s="261">
        <f>+BD31+BD54</f>
        <v>1502.8899999999999</v>
      </c>
      <c r="BE58" s="261">
        <f t="shared" ref="BE58:BH58" si="99">+BE31+BE54</f>
        <v>261.32</v>
      </c>
      <c r="BF58" s="261">
        <f t="shared" si="99"/>
        <v>1441.6389999999999</v>
      </c>
      <c r="BG58" s="261">
        <f t="shared" si="99"/>
        <v>24.17</v>
      </c>
      <c r="BH58" s="261">
        <f t="shared" si="99"/>
        <v>190.38</v>
      </c>
      <c r="BI58" s="261">
        <f>+BI31+BI54</f>
        <v>16.215499999999999</v>
      </c>
      <c r="BJ58" s="262">
        <f>+BJ31+BJ54</f>
        <v>0</v>
      </c>
      <c r="BK58" s="77"/>
      <c r="BM58" s="77"/>
      <c r="BN58" s="77"/>
    </row>
    <row r="59" spans="1:74" ht="7.5" customHeight="1">
      <c r="K59" s="69"/>
      <c r="L59" s="69"/>
      <c r="M59" s="69"/>
      <c r="N59" s="69"/>
      <c r="O59" s="69"/>
      <c r="P59" s="69"/>
      <c r="U59" s="69"/>
      <c r="V59" s="67"/>
      <c r="W59" s="67"/>
      <c r="X59" s="67"/>
    </row>
    <row r="60" spans="1:74">
      <c r="I60" s="70"/>
      <c r="K60" s="70"/>
      <c r="L60" s="70"/>
      <c r="M60" s="70"/>
    </row>
    <row r="62" spans="1:74" ht="24" customHeight="1">
      <c r="F62" s="288" t="s">
        <v>225</v>
      </c>
      <c r="G62" s="289"/>
      <c r="H62" s="289"/>
      <c r="I62" s="290"/>
      <c r="K62" s="290" t="s">
        <v>227</v>
      </c>
      <c r="L62" s="290" t="s">
        <v>229</v>
      </c>
      <c r="M62" s="290" t="s">
        <v>239</v>
      </c>
      <c r="N62" s="290" t="s">
        <v>226</v>
      </c>
      <c r="O62" s="291" t="s">
        <v>2</v>
      </c>
      <c r="P62" s="749" t="s">
        <v>228</v>
      </c>
      <c r="Q62" s="749"/>
    </row>
    <row r="63" spans="1:74">
      <c r="F63" s="293" t="s">
        <v>232</v>
      </c>
      <c r="G63" s="295"/>
      <c r="H63" s="295"/>
      <c r="I63" s="296"/>
      <c r="J63" s="295"/>
      <c r="K63" s="295"/>
      <c r="L63" s="296"/>
      <c r="M63" s="298"/>
      <c r="N63" s="295"/>
      <c r="O63" s="295" t="s">
        <v>133</v>
      </c>
      <c r="P63" s="369">
        <f>SUM(P64:Q68)</f>
        <v>1496.529</v>
      </c>
      <c r="Q63" s="369"/>
      <c r="S63" s="729" t="s">
        <v>676</v>
      </c>
      <c r="T63" s="729"/>
      <c r="U63" s="729"/>
    </row>
    <row r="64" spans="1:74">
      <c r="G64" s="247" t="s">
        <v>210</v>
      </c>
      <c r="K64" s="70">
        <v>1</v>
      </c>
      <c r="L64" s="78">
        <v>0.6</v>
      </c>
      <c r="M64" s="78">
        <v>2.6</v>
      </c>
      <c r="N64" s="78">
        <v>2</v>
      </c>
      <c r="O64" s="78"/>
      <c r="P64" s="69">
        <f>+K64*(M64+2*L64)*(N64+2*L64)</f>
        <v>12.16</v>
      </c>
      <c r="Q64" s="69"/>
      <c r="R64" s="78"/>
      <c r="S64" s="377" t="s">
        <v>1041</v>
      </c>
      <c r="T64" s="377" t="s">
        <v>1038</v>
      </c>
      <c r="U64" s="378">
        <v>1</v>
      </c>
    </row>
    <row r="65" spans="1:75">
      <c r="G65" s="247" t="s">
        <v>211</v>
      </c>
      <c r="K65" s="70">
        <v>1</v>
      </c>
      <c r="L65" s="78">
        <v>0.6</v>
      </c>
      <c r="M65" s="78">
        <v>2.6</v>
      </c>
      <c r="N65" s="78">
        <v>2</v>
      </c>
      <c r="O65" s="78"/>
      <c r="P65" s="69">
        <f>+K65*(M65+2*L65)*(N65+2*L65)</f>
        <v>12.16</v>
      </c>
      <c r="Q65" s="69"/>
      <c r="R65" s="78"/>
      <c r="S65" s="377" t="s">
        <v>1042</v>
      </c>
      <c r="T65" s="377" t="s">
        <v>1039</v>
      </c>
      <c r="U65" s="378">
        <v>1</v>
      </c>
    </row>
    <row r="66" spans="1:75">
      <c r="G66" s="247" t="s">
        <v>212</v>
      </c>
      <c r="K66" s="70">
        <v>2</v>
      </c>
      <c r="L66" s="78">
        <v>0.6</v>
      </c>
      <c r="M66" s="78">
        <v>2.6</v>
      </c>
      <c r="N66" s="78">
        <v>2</v>
      </c>
      <c r="O66" s="78"/>
      <c r="P66" s="69">
        <f>+K66*(M66+2*L66)*(N66+2*L66)</f>
        <v>24.32</v>
      </c>
      <c r="Q66" s="69"/>
      <c r="R66" s="78"/>
      <c r="S66" s="377" t="s">
        <v>1043</v>
      </c>
      <c r="T66" s="377" t="s">
        <v>1040</v>
      </c>
      <c r="U66" s="378">
        <v>1</v>
      </c>
    </row>
    <row r="67" spans="1:75">
      <c r="G67" s="247" t="s">
        <v>259</v>
      </c>
      <c r="K67" s="70">
        <v>1</v>
      </c>
      <c r="M67" s="78">
        <v>2.5</v>
      </c>
      <c r="N67" s="78">
        <v>2.5</v>
      </c>
      <c r="O67" s="78"/>
      <c r="P67" s="69">
        <f>+PRODUCT(K67:O67)</f>
        <v>6.25</v>
      </c>
      <c r="Q67" s="69"/>
      <c r="R67" s="78"/>
    </row>
    <row r="68" spans="1:75">
      <c r="G68" s="247" t="s">
        <v>261</v>
      </c>
      <c r="I68" s="70"/>
      <c r="K68" s="70">
        <v>1</v>
      </c>
      <c r="M68" s="78">
        <f>+BF58</f>
        <v>1441.6389999999999</v>
      </c>
      <c r="N68" s="78"/>
      <c r="O68" s="78"/>
      <c r="P68" s="69">
        <f>+PRODUCT(K68:O68)</f>
        <v>1441.6389999999999</v>
      </c>
      <c r="Q68" s="69"/>
      <c r="R68" s="78"/>
      <c r="S68" s="729" t="s">
        <v>1057</v>
      </c>
      <c r="T68" s="729"/>
      <c r="U68" s="729"/>
    </row>
    <row r="69" spans="1:75">
      <c r="G69" s="247"/>
      <c r="I69" s="70"/>
      <c r="K69" s="70"/>
      <c r="L69" s="285"/>
      <c r="M69" s="285"/>
      <c r="N69" s="285"/>
      <c r="O69" s="285"/>
      <c r="P69" s="306"/>
      <c r="Q69" s="306"/>
      <c r="R69" s="285"/>
      <c r="S69" s="377" t="s">
        <v>1061</v>
      </c>
      <c r="T69" s="377" t="s">
        <v>1058</v>
      </c>
      <c r="U69" s="378">
        <v>1</v>
      </c>
      <c r="V69" s="285"/>
      <c r="W69" s="285"/>
      <c r="X69" s="285"/>
    </row>
    <row r="70" spans="1:75" s="294" customFormat="1">
      <c r="C70" s="286"/>
      <c r="D70" s="286"/>
      <c r="E70" s="286"/>
      <c r="F70" s="293" t="s">
        <v>233</v>
      </c>
      <c r="G70" s="295"/>
      <c r="H70" s="295"/>
      <c r="I70" s="296"/>
      <c r="J70" s="295"/>
      <c r="K70" s="295"/>
      <c r="L70" s="296"/>
      <c r="M70" s="296"/>
      <c r="N70" s="296"/>
      <c r="O70" s="296" t="s">
        <v>163</v>
      </c>
      <c r="P70" s="369">
        <f>SUM(P71:Q73)</f>
        <v>3</v>
      </c>
      <c r="Q70" s="369"/>
      <c r="R70" s="287"/>
      <c r="S70" s="377" t="s">
        <v>1061</v>
      </c>
      <c r="T70" s="377" t="s">
        <v>1059</v>
      </c>
      <c r="U70" s="378">
        <v>1</v>
      </c>
      <c r="V70" s="287"/>
      <c r="W70" s="287"/>
      <c r="X70" s="287"/>
      <c r="Y70" s="286"/>
      <c r="Z70" s="286"/>
      <c r="AA70" s="286"/>
      <c r="AB70" s="286"/>
      <c r="AC70" s="286"/>
      <c r="AD70" s="286"/>
      <c r="BM70" s="286"/>
      <c r="BN70" s="286"/>
    </row>
    <row r="71" spans="1:75">
      <c r="G71" s="247" t="s">
        <v>230</v>
      </c>
      <c r="I71" s="70"/>
      <c r="K71" s="70">
        <v>2</v>
      </c>
      <c r="M71" s="78">
        <v>1</v>
      </c>
      <c r="N71" s="78"/>
      <c r="O71" s="78"/>
      <c r="P71" s="69">
        <f>+PRODUCT(K71:O71)</f>
        <v>2</v>
      </c>
      <c r="Q71" s="69"/>
      <c r="R71" s="78"/>
      <c r="S71" s="377" t="s">
        <v>1055</v>
      </c>
      <c r="T71" s="377" t="s">
        <v>1060</v>
      </c>
      <c r="U71" s="378">
        <v>1</v>
      </c>
    </row>
    <row r="72" spans="1:75">
      <c r="F72" s="67"/>
      <c r="G72" s="247" t="s">
        <v>231</v>
      </c>
      <c r="H72" s="78"/>
      <c r="I72" s="70"/>
      <c r="K72" s="70">
        <v>1</v>
      </c>
      <c r="M72" s="78">
        <v>1</v>
      </c>
      <c r="N72" s="78"/>
      <c r="O72" s="78"/>
      <c r="P72" s="69">
        <f>+PRODUCT(K72:O72)</f>
        <v>1</v>
      </c>
      <c r="Q72" s="69"/>
      <c r="R72" s="78"/>
      <c r="S72" s="377" t="s">
        <v>1056</v>
      </c>
      <c r="T72" s="377" t="s">
        <v>1060</v>
      </c>
      <c r="U72" s="378">
        <v>1</v>
      </c>
    </row>
    <row r="73" spans="1:75">
      <c r="F73" s="67"/>
      <c r="G73" s="247"/>
      <c r="H73" s="78"/>
      <c r="I73" s="70"/>
      <c r="K73" s="70"/>
      <c r="M73" s="78"/>
      <c r="N73" s="78"/>
      <c r="O73" s="78"/>
      <c r="P73" s="306"/>
      <c r="Q73" s="306"/>
      <c r="R73" s="78"/>
      <c r="S73" s="377" t="s">
        <v>1062</v>
      </c>
      <c r="T73" s="377" t="s">
        <v>1058</v>
      </c>
      <c r="U73" s="378">
        <v>1</v>
      </c>
    </row>
    <row r="74" spans="1:75" s="297" customFormat="1">
      <c r="C74" s="270"/>
      <c r="D74" s="270"/>
      <c r="E74" s="270"/>
      <c r="F74" s="293" t="s">
        <v>234</v>
      </c>
      <c r="G74" s="295"/>
      <c r="H74" s="295"/>
      <c r="I74" s="296"/>
      <c r="J74" s="295"/>
      <c r="K74" s="295"/>
      <c r="L74" s="296"/>
      <c r="M74" s="296"/>
      <c r="N74" s="296"/>
      <c r="O74" s="296" t="s">
        <v>133</v>
      </c>
      <c r="P74" s="369">
        <f>SUM(P75:Q76)</f>
        <v>24.17</v>
      </c>
      <c r="Q74" s="369"/>
      <c r="R74" s="76"/>
      <c r="S74" s="377"/>
      <c r="T74" s="377"/>
      <c r="U74" s="378"/>
      <c r="V74" s="76"/>
      <c r="W74" s="76"/>
      <c r="X74" s="76"/>
      <c r="Y74" s="270"/>
      <c r="Z74" s="270"/>
      <c r="AA74" s="270"/>
      <c r="AB74" s="270"/>
      <c r="AC74" s="270"/>
      <c r="AD74" s="270"/>
      <c r="BM74" s="270"/>
      <c r="BN74" s="270"/>
    </row>
    <row r="75" spans="1:75">
      <c r="G75" s="247" t="s">
        <v>235</v>
      </c>
      <c r="I75" s="70"/>
      <c r="K75" s="70">
        <v>1</v>
      </c>
      <c r="M75" s="78">
        <f>+BG54</f>
        <v>24.17</v>
      </c>
      <c r="N75" s="78">
        <v>1</v>
      </c>
      <c r="O75" s="78"/>
      <c r="P75" s="69">
        <f>+PRODUCT(K75:O75)</f>
        <v>24.17</v>
      </c>
      <c r="Q75" s="69"/>
      <c r="R75" s="78"/>
      <c r="S75" s="729" t="s">
        <v>172</v>
      </c>
      <c r="T75" s="729"/>
      <c r="U75" s="729"/>
    </row>
    <row r="76" spans="1:75" s="70" customFormat="1">
      <c r="A76" s="67"/>
      <c r="B76" s="67"/>
      <c r="F76" s="247"/>
      <c r="G76" s="247"/>
      <c r="L76" s="78"/>
      <c r="M76" s="78"/>
      <c r="N76" s="78"/>
      <c r="O76" s="78"/>
      <c r="P76" s="306"/>
      <c r="Q76" s="306"/>
      <c r="R76" s="78"/>
      <c r="S76" s="377" t="s">
        <v>1141</v>
      </c>
      <c r="T76" s="377" t="s">
        <v>1143</v>
      </c>
      <c r="U76" s="378">
        <v>3</v>
      </c>
      <c r="V76" s="78"/>
      <c r="W76" s="78"/>
      <c r="X76" s="78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O76" s="67"/>
      <c r="BP76" s="67"/>
      <c r="BQ76" s="67"/>
      <c r="BR76" s="67"/>
      <c r="BS76" s="67"/>
      <c r="BT76" s="67"/>
      <c r="BU76" s="67"/>
      <c r="BV76" s="67"/>
      <c r="BW76" s="67"/>
    </row>
    <row r="77" spans="1:75" s="270" customFormat="1">
      <c r="A77" s="297"/>
      <c r="B77" s="297"/>
      <c r="F77" s="293" t="s">
        <v>236</v>
      </c>
      <c r="G77" s="295"/>
      <c r="H77" s="295"/>
      <c r="I77" s="296"/>
      <c r="J77" s="295"/>
      <c r="K77" s="295"/>
      <c r="L77" s="296"/>
      <c r="M77" s="296"/>
      <c r="N77" s="296"/>
      <c r="O77" s="296" t="s">
        <v>161</v>
      </c>
      <c r="P77" s="369">
        <f>SUM(P78:Q82)</f>
        <v>46.2</v>
      </c>
      <c r="Q77" s="369"/>
      <c r="R77" s="76"/>
      <c r="S77" s="377" t="s">
        <v>1141</v>
      </c>
      <c r="T77" s="377" t="s">
        <v>1144</v>
      </c>
      <c r="U77" s="378">
        <v>1</v>
      </c>
      <c r="V77" s="76"/>
      <c r="W77" s="76"/>
      <c r="X77" s="76"/>
      <c r="AE77" s="297"/>
      <c r="AF77" s="297"/>
      <c r="AG77" s="297"/>
      <c r="AH77" s="297"/>
      <c r="AI77" s="297"/>
      <c r="AJ77" s="297"/>
      <c r="AK77" s="297"/>
      <c r="AL77" s="297"/>
      <c r="AM77" s="297"/>
      <c r="AN77" s="297"/>
      <c r="AO77" s="297"/>
      <c r="AP77" s="297"/>
      <c r="AQ77" s="297"/>
      <c r="AR77" s="297"/>
      <c r="AS77" s="297"/>
      <c r="AT77" s="297"/>
      <c r="AU77" s="297"/>
      <c r="AV77" s="297"/>
      <c r="AW77" s="297"/>
      <c r="AX77" s="297"/>
      <c r="AY77" s="297"/>
      <c r="AZ77" s="297"/>
      <c r="BA77" s="297"/>
      <c r="BB77" s="297"/>
      <c r="BC77" s="297"/>
      <c r="BD77" s="297"/>
      <c r="BE77" s="297"/>
      <c r="BF77" s="297"/>
      <c r="BG77" s="297"/>
      <c r="BH77" s="297"/>
      <c r="BI77" s="297"/>
      <c r="BJ77" s="297"/>
      <c r="BK77" s="297"/>
      <c r="BL77" s="297"/>
      <c r="BO77" s="297"/>
      <c r="BP77" s="297"/>
      <c r="BQ77" s="297"/>
      <c r="BR77" s="297"/>
      <c r="BS77" s="297"/>
      <c r="BT77" s="297"/>
      <c r="BU77" s="297"/>
      <c r="BV77" s="297"/>
      <c r="BW77" s="297"/>
    </row>
    <row r="78" spans="1:75">
      <c r="G78" s="247" t="s">
        <v>237</v>
      </c>
      <c r="I78" s="70"/>
      <c r="K78" s="70">
        <v>1</v>
      </c>
      <c r="M78" s="78">
        <v>3</v>
      </c>
      <c r="N78" s="78"/>
      <c r="O78" s="78"/>
      <c r="P78" s="69">
        <f>+PRODUCT(K78:O78)</f>
        <v>3</v>
      </c>
      <c r="Q78" s="69"/>
      <c r="R78" s="78"/>
      <c r="S78" s="377" t="s">
        <v>1142</v>
      </c>
      <c r="T78" s="377" t="s">
        <v>1145</v>
      </c>
      <c r="U78" s="378">
        <v>1</v>
      </c>
    </row>
    <row r="79" spans="1:75">
      <c r="G79" s="247" t="s">
        <v>238</v>
      </c>
      <c r="I79" s="70"/>
      <c r="K79" s="70">
        <v>1</v>
      </c>
      <c r="M79" s="78">
        <f>15+9.2</f>
        <v>24.2</v>
      </c>
      <c r="N79" s="78"/>
      <c r="O79" s="78"/>
      <c r="P79" s="69">
        <f>+PRODUCT(K79:O79)</f>
        <v>24.2</v>
      </c>
      <c r="Q79" s="69"/>
      <c r="R79" s="78"/>
      <c r="S79" s="377" t="s">
        <v>1146</v>
      </c>
      <c r="T79" s="377" t="s">
        <v>1147</v>
      </c>
      <c r="U79" s="378">
        <v>1</v>
      </c>
    </row>
    <row r="80" spans="1:75">
      <c r="G80" s="247" t="s">
        <v>241</v>
      </c>
      <c r="I80" s="70"/>
      <c r="K80" s="70">
        <v>1</v>
      </c>
      <c r="M80" s="78">
        <v>15</v>
      </c>
      <c r="N80" s="78"/>
      <c r="O80" s="78"/>
      <c r="P80" s="69">
        <f>+PRODUCT(K80:O80)</f>
        <v>15</v>
      </c>
      <c r="Q80" s="69"/>
      <c r="R80" s="78"/>
      <c r="S80" s="377"/>
      <c r="T80" s="377"/>
      <c r="U80" s="378"/>
    </row>
    <row r="81" spans="3:66">
      <c r="G81" s="247" t="s">
        <v>240</v>
      </c>
      <c r="I81" s="70"/>
      <c r="K81" s="70">
        <v>1</v>
      </c>
      <c r="M81" s="78">
        <v>4</v>
      </c>
      <c r="N81" s="78"/>
      <c r="O81" s="78"/>
      <c r="P81" s="69">
        <f>+PRODUCT(K81:O81)</f>
        <v>4</v>
      </c>
      <c r="Q81" s="69"/>
      <c r="R81" s="78"/>
      <c r="S81" s="377" t="s">
        <v>1153</v>
      </c>
      <c r="T81" s="377"/>
      <c r="U81" s="556">
        <f>+U84+U86</f>
        <v>26</v>
      </c>
    </row>
    <row r="82" spans="3:66">
      <c r="G82" s="247"/>
      <c r="I82" s="70"/>
      <c r="M82" s="78"/>
      <c r="N82" s="78"/>
      <c r="O82" s="78"/>
      <c r="P82" s="69">
        <f t="shared" ref="P82:P118" si="100">+PRODUCT(J82:O82)</f>
        <v>0</v>
      </c>
      <c r="Q82" s="69"/>
      <c r="R82" s="78"/>
      <c r="S82" s="306"/>
      <c r="T82" s="306"/>
      <c r="U82" s="306"/>
    </row>
    <row r="83" spans="3:66">
      <c r="F83" s="293" t="s">
        <v>242</v>
      </c>
      <c r="G83" s="295"/>
      <c r="H83" s="295"/>
      <c r="I83" s="296"/>
      <c r="J83" s="295"/>
      <c r="K83" s="295"/>
      <c r="L83" s="296"/>
      <c r="M83" s="296"/>
      <c r="N83" s="296"/>
      <c r="O83" s="296" t="s">
        <v>133</v>
      </c>
      <c r="P83" s="369">
        <f>SUM(P84:Q86)</f>
        <v>288.01499999999999</v>
      </c>
      <c r="Q83" s="369"/>
      <c r="R83" s="78"/>
      <c r="S83" s="557" t="s">
        <v>1154</v>
      </c>
      <c r="T83" s="377"/>
      <c r="U83" s="378"/>
    </row>
    <row r="84" spans="3:66">
      <c r="G84" s="247" t="s">
        <v>241</v>
      </c>
      <c r="I84" s="70"/>
      <c r="K84" s="70">
        <v>1</v>
      </c>
      <c r="M84" s="78">
        <f>21.45+5.2-M105</f>
        <v>16.649999999999999</v>
      </c>
      <c r="N84" s="78">
        <v>1.5</v>
      </c>
      <c r="O84" s="78"/>
      <c r="P84" s="69">
        <f>+PRODUCT(K84:O84)</f>
        <v>24.974999999999998</v>
      </c>
      <c r="Q84" s="69"/>
      <c r="R84" s="78"/>
      <c r="S84" s="558" t="s">
        <v>1152</v>
      </c>
      <c r="T84" s="559">
        <v>103.26</v>
      </c>
      <c r="U84" s="559">
        <f>+ROUND(T84/6,0)</f>
        <v>17</v>
      </c>
    </row>
    <row r="85" spans="3:66">
      <c r="G85" s="247" t="s">
        <v>243</v>
      </c>
      <c r="I85" s="70"/>
      <c r="K85" s="70">
        <v>1</v>
      </c>
      <c r="M85" s="78">
        <v>54.8</v>
      </c>
      <c r="N85" s="78">
        <v>4.8</v>
      </c>
      <c r="O85" s="78"/>
      <c r="P85" s="69">
        <f t="shared" si="100"/>
        <v>263.03999999999996</v>
      </c>
      <c r="Q85" s="69"/>
      <c r="R85" s="78"/>
      <c r="S85" s="557" t="s">
        <v>1155</v>
      </c>
    </row>
    <row r="86" spans="3:66">
      <c r="G86" s="247"/>
      <c r="I86" s="70"/>
      <c r="M86" s="78"/>
      <c r="N86" s="78"/>
      <c r="O86" s="78"/>
      <c r="P86" s="69">
        <f t="shared" si="100"/>
        <v>0</v>
      </c>
      <c r="Q86" s="69"/>
      <c r="R86" s="78"/>
      <c r="S86" s="558" t="s">
        <v>1152</v>
      </c>
      <c r="T86" s="559">
        <v>53.72</v>
      </c>
      <c r="U86" s="559">
        <f>+ROUND(T86/6,0)</f>
        <v>9</v>
      </c>
    </row>
    <row r="87" spans="3:66" s="297" customFormat="1">
      <c r="C87" s="270"/>
      <c r="D87" s="270"/>
      <c r="E87" s="270"/>
      <c r="F87" s="293" t="s">
        <v>244</v>
      </c>
      <c r="G87" s="295"/>
      <c r="H87" s="295"/>
      <c r="I87" s="296"/>
      <c r="J87" s="295"/>
      <c r="K87" s="295"/>
      <c r="L87" s="296"/>
      <c r="M87" s="296"/>
      <c r="N87" s="296"/>
      <c r="O87" s="296" t="s">
        <v>163</v>
      </c>
      <c r="P87" s="369">
        <v>1</v>
      </c>
      <c r="Q87" s="369"/>
      <c r="R87" s="76"/>
      <c r="S87" s="299"/>
      <c r="T87" s="299"/>
      <c r="U87" s="76"/>
      <c r="V87" s="76"/>
      <c r="W87" s="76"/>
      <c r="X87" s="76"/>
      <c r="Y87" s="270"/>
      <c r="Z87" s="270"/>
      <c r="AA87" s="270"/>
      <c r="AB87" s="270"/>
      <c r="AC87" s="270"/>
      <c r="AD87" s="270"/>
      <c r="BM87" s="270"/>
      <c r="BN87" s="270"/>
    </row>
    <row r="88" spans="3:66">
      <c r="G88" s="247" t="s">
        <v>246</v>
      </c>
      <c r="I88" s="70"/>
      <c r="K88" s="70">
        <v>1</v>
      </c>
      <c r="M88" s="78">
        <v>1.5</v>
      </c>
      <c r="N88" s="78">
        <v>1</v>
      </c>
      <c r="O88" s="78">
        <v>1</v>
      </c>
      <c r="P88" s="69">
        <f>+PRODUCT(K88:O88)</f>
        <v>1.5</v>
      </c>
      <c r="Q88" s="69"/>
      <c r="R88" s="78"/>
    </row>
    <row r="89" spans="3:66">
      <c r="G89" s="247" t="s">
        <v>247</v>
      </c>
      <c r="I89" s="70"/>
      <c r="K89" s="78">
        <v>1</v>
      </c>
      <c r="M89" s="78">
        <v>1.5</v>
      </c>
      <c r="N89" s="78">
        <v>1</v>
      </c>
      <c r="O89" s="78">
        <v>1</v>
      </c>
      <c r="P89" s="69">
        <f t="shared" si="100"/>
        <v>1.5</v>
      </c>
      <c r="Q89" s="69"/>
      <c r="R89" s="78"/>
    </row>
    <row r="90" spans="3:66">
      <c r="G90" s="247" t="s">
        <v>248</v>
      </c>
      <c r="I90" s="70"/>
      <c r="K90" s="78">
        <v>1</v>
      </c>
      <c r="M90" s="78">
        <v>1.5</v>
      </c>
      <c r="N90" s="78">
        <v>1</v>
      </c>
      <c r="O90" s="78">
        <v>1</v>
      </c>
      <c r="P90" s="69">
        <f t="shared" si="100"/>
        <v>1.5</v>
      </c>
      <c r="Q90" s="69"/>
      <c r="R90" s="78"/>
    </row>
    <row r="91" spans="3:66">
      <c r="G91" s="247"/>
      <c r="I91" s="70"/>
      <c r="M91" s="78"/>
      <c r="N91" s="78"/>
      <c r="O91" s="78"/>
      <c r="P91" s="69">
        <f t="shared" si="100"/>
        <v>0</v>
      </c>
      <c r="Q91" s="69"/>
      <c r="R91" s="78"/>
    </row>
    <row r="92" spans="3:66" s="297" customFormat="1">
      <c r="C92" s="270"/>
      <c r="D92" s="270"/>
      <c r="E92" s="270"/>
      <c r="F92" s="293" t="s">
        <v>249</v>
      </c>
      <c r="G92" s="295"/>
      <c r="H92" s="295"/>
      <c r="I92" s="296"/>
      <c r="J92" s="295"/>
      <c r="K92" s="295"/>
      <c r="L92" s="296"/>
      <c r="M92" s="296"/>
      <c r="N92" s="296"/>
      <c r="O92" s="296" t="s">
        <v>163</v>
      </c>
      <c r="P92" s="369">
        <f>SUM(P93:Q94)</f>
        <v>154</v>
      </c>
      <c r="Q92" s="369"/>
      <c r="R92" s="76"/>
      <c r="S92" s="299"/>
      <c r="T92" s="299"/>
      <c r="U92" s="76"/>
      <c r="V92" s="76"/>
      <c r="W92" s="76"/>
      <c r="X92" s="76"/>
      <c r="Y92" s="270"/>
      <c r="Z92" s="270"/>
      <c r="AA92" s="270"/>
      <c r="AB92" s="270"/>
      <c r="AC92" s="270"/>
      <c r="AD92" s="270"/>
      <c r="BM92" s="270"/>
      <c r="BN92" s="270"/>
    </row>
    <row r="93" spans="3:66">
      <c r="C93" s="67"/>
      <c r="D93" s="67"/>
      <c r="E93" s="67"/>
      <c r="G93" s="247" t="s">
        <v>251</v>
      </c>
      <c r="I93" s="70"/>
      <c r="K93" s="70">
        <v>1</v>
      </c>
      <c r="M93" s="78">
        <v>154</v>
      </c>
      <c r="N93" s="78"/>
      <c r="O93" s="78"/>
      <c r="P93" s="69">
        <f>+PRODUCT(K93:O93)</f>
        <v>154</v>
      </c>
      <c r="Q93" s="69"/>
      <c r="R93" s="69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BM93" s="67"/>
      <c r="BN93" s="67"/>
    </row>
    <row r="94" spans="3:66">
      <c r="C94" s="67"/>
      <c r="D94" s="67"/>
      <c r="E94" s="67"/>
      <c r="F94" s="67"/>
      <c r="G94" s="247"/>
      <c r="I94" s="70"/>
      <c r="M94" s="78"/>
      <c r="N94" s="78"/>
      <c r="O94" s="78"/>
      <c r="P94" s="69">
        <f t="shared" si="100"/>
        <v>0</v>
      </c>
      <c r="Q94" s="69"/>
      <c r="R94" s="69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BM94" s="67"/>
      <c r="BN94" s="67"/>
    </row>
    <row r="95" spans="3:66" s="297" customFormat="1">
      <c r="F95" s="293" t="s">
        <v>250</v>
      </c>
      <c r="G95" s="295"/>
      <c r="H95" s="295"/>
      <c r="I95" s="296"/>
      <c r="J95" s="295"/>
      <c r="K95" s="295"/>
      <c r="L95" s="296"/>
      <c r="M95" s="296"/>
      <c r="N95" s="296"/>
      <c r="O95" s="296" t="s">
        <v>163</v>
      </c>
      <c r="P95" s="369">
        <f>SUM(P96:Q97)</f>
        <v>13</v>
      </c>
      <c r="Q95" s="369"/>
      <c r="R95" s="149"/>
    </row>
    <row r="96" spans="3:66">
      <c r="C96" s="67"/>
      <c r="D96" s="67"/>
      <c r="E96" s="67"/>
      <c r="G96" s="247" t="s">
        <v>252</v>
      </c>
      <c r="I96" s="70"/>
      <c r="K96" s="70">
        <v>1</v>
      </c>
      <c r="M96" s="78">
        <v>13</v>
      </c>
      <c r="N96" s="78"/>
      <c r="O96" s="78"/>
      <c r="P96" s="69">
        <f>+PRODUCT(K96:O96)</f>
        <v>13</v>
      </c>
      <c r="Q96" s="69"/>
      <c r="R96" s="69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BM96" s="67"/>
      <c r="BN96" s="67"/>
    </row>
    <row r="97" spans="3:66">
      <c r="C97" s="67"/>
      <c r="D97" s="67"/>
      <c r="E97" s="67"/>
      <c r="F97" s="67"/>
      <c r="G97" s="247"/>
      <c r="I97" s="70"/>
      <c r="M97" s="78"/>
      <c r="N97" s="78"/>
      <c r="O97" s="78"/>
      <c r="P97" s="69">
        <f t="shared" si="100"/>
        <v>0</v>
      </c>
      <c r="Q97" s="69"/>
      <c r="R97" s="69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BM97" s="67"/>
      <c r="BN97" s="67"/>
    </row>
    <row r="98" spans="3:66" s="297" customFormat="1">
      <c r="C98" s="270"/>
      <c r="D98" s="270"/>
      <c r="E98" s="270"/>
      <c r="F98" s="293" t="s">
        <v>254</v>
      </c>
      <c r="G98" s="295"/>
      <c r="H98" s="295"/>
      <c r="I98" s="296"/>
      <c r="J98" s="295"/>
      <c r="K98" s="295"/>
      <c r="L98" s="296"/>
      <c r="M98" s="296"/>
      <c r="N98" s="296"/>
      <c r="O98" s="296" t="s">
        <v>163</v>
      </c>
      <c r="P98" s="369">
        <v>1</v>
      </c>
      <c r="Q98" s="369"/>
      <c r="R98" s="299"/>
      <c r="S98" s="299"/>
      <c r="T98" s="299"/>
      <c r="U98" s="76"/>
      <c r="V98" s="76"/>
      <c r="W98" s="76"/>
      <c r="X98" s="76"/>
      <c r="Y98" s="270"/>
      <c r="Z98" s="270"/>
      <c r="AA98" s="270"/>
      <c r="AB98" s="270"/>
      <c r="AC98" s="270"/>
      <c r="AD98" s="270"/>
      <c r="BM98" s="270"/>
      <c r="BN98" s="270"/>
    </row>
    <row r="99" spans="3:66">
      <c r="G99" s="247" t="s">
        <v>255</v>
      </c>
      <c r="I99" s="70"/>
      <c r="K99" s="70">
        <v>1</v>
      </c>
      <c r="M99" s="78">
        <v>1</v>
      </c>
      <c r="N99" s="78"/>
      <c r="O99" s="78"/>
      <c r="P99" s="69">
        <f>+PRODUCT(K99:O99)</f>
        <v>1</v>
      </c>
      <c r="Q99" s="69"/>
    </row>
    <row r="100" spans="3:66">
      <c r="G100" s="247"/>
      <c r="I100" s="70"/>
      <c r="M100" s="78"/>
      <c r="N100" s="78"/>
      <c r="O100" s="78"/>
      <c r="P100" s="69">
        <f t="shared" si="100"/>
        <v>0</v>
      </c>
      <c r="Q100" s="69"/>
    </row>
    <row r="101" spans="3:66" s="297" customFormat="1">
      <c r="C101" s="270"/>
      <c r="D101" s="270"/>
      <c r="E101" s="270"/>
      <c r="F101" s="293" t="s">
        <v>256</v>
      </c>
      <c r="G101" s="295"/>
      <c r="H101" s="295"/>
      <c r="I101" s="296"/>
      <c r="J101" s="295"/>
      <c r="K101" s="295"/>
      <c r="L101" s="296"/>
      <c r="M101" s="296"/>
      <c r="N101" s="296"/>
      <c r="O101" s="296" t="s">
        <v>245</v>
      </c>
      <c r="P101" s="369">
        <f>SUM(P102:Q103)</f>
        <v>60</v>
      </c>
      <c r="Q101" s="369"/>
      <c r="R101" s="299"/>
      <c r="S101" s="299"/>
      <c r="T101" s="299"/>
      <c r="U101" s="76"/>
      <c r="V101" s="76"/>
      <c r="W101" s="76"/>
      <c r="X101" s="76"/>
      <c r="Y101" s="270"/>
      <c r="Z101" s="270"/>
      <c r="AA101" s="270"/>
      <c r="AB101" s="270"/>
      <c r="AC101" s="270"/>
      <c r="AD101" s="270"/>
      <c r="BM101" s="270"/>
      <c r="BN101" s="270"/>
    </row>
    <row r="102" spans="3:66">
      <c r="G102" s="247" t="s">
        <v>253</v>
      </c>
      <c r="I102" s="70"/>
      <c r="K102" s="70">
        <v>1</v>
      </c>
      <c r="M102" s="78">
        <v>60</v>
      </c>
      <c r="N102" s="78">
        <v>1</v>
      </c>
      <c r="O102" s="78"/>
      <c r="P102" s="69">
        <f>+PRODUCT(K102:O102)</f>
        <v>60</v>
      </c>
      <c r="Q102" s="69"/>
    </row>
    <row r="103" spans="3:66">
      <c r="G103" s="247"/>
      <c r="I103" s="70"/>
      <c r="M103" s="78"/>
      <c r="N103" s="78"/>
      <c r="O103" s="78"/>
      <c r="P103" s="69">
        <f t="shared" si="100"/>
        <v>0</v>
      </c>
      <c r="Q103" s="69"/>
    </row>
    <row r="104" spans="3:66" s="297" customFormat="1">
      <c r="C104" s="270"/>
      <c r="D104" s="270"/>
      <c r="E104" s="270"/>
      <c r="F104" s="293" t="s">
        <v>257</v>
      </c>
      <c r="G104" s="295"/>
      <c r="H104" s="295"/>
      <c r="I104" s="296"/>
      <c r="J104" s="295"/>
      <c r="K104" s="295"/>
      <c r="L104" s="296"/>
      <c r="M104" s="296"/>
      <c r="N104" s="296"/>
      <c r="O104" s="296" t="s">
        <v>133</v>
      </c>
      <c r="P104" s="369">
        <f>SUM(P105:Q108)</f>
        <v>307.03999999999996</v>
      </c>
      <c r="Q104" s="369"/>
      <c r="R104" s="299"/>
      <c r="S104" s="299"/>
      <c r="T104" s="299"/>
      <c r="U104" s="76"/>
      <c r="V104" s="76"/>
      <c r="W104" s="76"/>
      <c r="X104" s="76"/>
      <c r="Y104" s="270"/>
      <c r="Z104" s="270"/>
      <c r="AA104" s="270"/>
      <c r="AB104" s="270"/>
      <c r="AC104" s="270"/>
      <c r="AD104" s="270"/>
      <c r="BM104" s="270"/>
      <c r="BN104" s="270"/>
    </row>
    <row r="105" spans="3:66">
      <c r="G105" s="247" t="str">
        <f>+G84</f>
        <v>ÓVALO COND. LADERAS DEL SOL</v>
      </c>
      <c r="I105" s="70"/>
      <c r="K105" s="70">
        <v>1</v>
      </c>
      <c r="M105" s="78">
        <v>10</v>
      </c>
      <c r="N105" s="78">
        <v>2</v>
      </c>
      <c r="O105" s="78"/>
      <c r="P105" s="69">
        <f>+PRODUCT(K105:O105)</f>
        <v>20</v>
      </c>
      <c r="Q105" s="69"/>
    </row>
    <row r="106" spans="3:66">
      <c r="G106" s="247" t="str">
        <f>+G85</f>
        <v>CONDIMINIOS LADREAS DEL SOL</v>
      </c>
      <c r="I106" s="70"/>
      <c r="K106" s="70">
        <v>1</v>
      </c>
      <c r="M106" s="78">
        <f>+P85</f>
        <v>263.03999999999996</v>
      </c>
      <c r="N106" s="78"/>
      <c r="O106" s="78"/>
      <c r="P106" s="69">
        <f>+PRODUCT(K106:O106)</f>
        <v>263.03999999999996</v>
      </c>
      <c r="Q106" s="69"/>
    </row>
    <row r="107" spans="3:66">
      <c r="G107" s="247" t="s">
        <v>258</v>
      </c>
      <c r="I107" s="70"/>
      <c r="K107" s="70">
        <v>1</v>
      </c>
      <c r="M107" s="78">
        <v>8</v>
      </c>
      <c r="N107" s="78">
        <v>3</v>
      </c>
      <c r="O107" s="78"/>
      <c r="P107" s="69">
        <f t="shared" si="100"/>
        <v>24</v>
      </c>
      <c r="Q107" s="69"/>
    </row>
    <row r="108" spans="3:66">
      <c r="G108" s="247"/>
      <c r="I108" s="70"/>
      <c r="M108" s="78"/>
      <c r="N108" s="78"/>
      <c r="O108" s="78"/>
      <c r="P108" s="758">
        <f t="shared" si="100"/>
        <v>0</v>
      </c>
      <c r="Q108" s="758"/>
    </row>
    <row r="109" spans="3:66">
      <c r="G109" s="247"/>
      <c r="I109" s="70"/>
      <c r="M109" s="78"/>
      <c r="N109" s="78"/>
      <c r="O109" s="78"/>
      <c r="P109" s="758">
        <f t="shared" si="100"/>
        <v>0</v>
      </c>
      <c r="Q109" s="758"/>
    </row>
    <row r="110" spans="3:66">
      <c r="F110" s="301"/>
      <c r="G110" s="248" t="s">
        <v>260</v>
      </c>
      <c r="I110" s="70"/>
      <c r="M110" s="78"/>
      <c r="N110" s="78"/>
      <c r="O110" s="78"/>
      <c r="P110" s="758">
        <f t="shared" si="100"/>
        <v>0</v>
      </c>
      <c r="Q110" s="758"/>
    </row>
    <row r="111" spans="3:66">
      <c r="G111" s="247"/>
      <c r="I111" s="70"/>
      <c r="M111" s="78"/>
      <c r="N111" s="78"/>
      <c r="O111" s="78"/>
      <c r="P111" s="758">
        <f t="shared" si="100"/>
        <v>0</v>
      </c>
      <c r="Q111" s="758"/>
    </row>
    <row r="112" spans="3:66">
      <c r="G112" s="247"/>
      <c r="I112" s="70"/>
      <c r="M112" s="78"/>
      <c r="N112" s="78"/>
      <c r="O112" s="78"/>
      <c r="P112" s="758">
        <f t="shared" si="100"/>
        <v>0</v>
      </c>
      <c r="Q112" s="758"/>
    </row>
    <row r="113" spans="7:17">
      <c r="G113" s="247"/>
      <c r="I113" s="70"/>
      <c r="M113" s="78"/>
      <c r="N113" s="78"/>
      <c r="O113" s="78"/>
      <c r="P113" s="758">
        <f t="shared" si="100"/>
        <v>0</v>
      </c>
      <c r="Q113" s="758"/>
    </row>
    <row r="114" spans="7:17">
      <c r="G114" s="247"/>
      <c r="I114" s="70"/>
      <c r="M114" s="78"/>
      <c r="N114" s="78"/>
      <c r="O114" s="78"/>
      <c r="P114" s="758">
        <f t="shared" si="100"/>
        <v>0</v>
      </c>
      <c r="Q114" s="758"/>
    </row>
    <row r="115" spans="7:17">
      <c r="G115" s="247"/>
      <c r="I115" s="70"/>
      <c r="M115" s="78"/>
      <c r="N115" s="78"/>
      <c r="O115" s="78"/>
      <c r="P115" s="758">
        <f t="shared" si="100"/>
        <v>0</v>
      </c>
      <c r="Q115" s="758"/>
    </row>
    <row r="116" spans="7:17">
      <c r="G116" s="247"/>
      <c r="I116" s="70"/>
      <c r="M116" s="78"/>
      <c r="N116" s="78"/>
      <c r="O116" s="78"/>
      <c r="P116" s="758">
        <f t="shared" si="100"/>
        <v>0</v>
      </c>
      <c r="Q116" s="758"/>
    </row>
    <row r="117" spans="7:17">
      <c r="G117" s="247"/>
      <c r="I117" s="70"/>
      <c r="M117" s="78"/>
      <c r="N117" s="78"/>
      <c r="O117" s="78"/>
      <c r="P117" s="758">
        <f t="shared" si="100"/>
        <v>0</v>
      </c>
      <c r="Q117" s="758"/>
    </row>
    <row r="118" spans="7:17">
      <c r="G118" s="247"/>
      <c r="I118" s="70"/>
      <c r="M118" s="78"/>
      <c r="N118" s="78"/>
      <c r="O118" s="78"/>
      <c r="P118" s="758">
        <f t="shared" si="100"/>
        <v>0</v>
      </c>
      <c r="Q118" s="758"/>
    </row>
  </sheetData>
  <customSheetViews>
    <customSheetView guid="{E3668F7A-83C2-45EF-92AE-FEC5F071E70A}" scale="25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CL45" sqref="CL4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2" orientation="landscape" horizontalDpi="4294967294" r:id="rId1"/>
    </customSheetView>
  </customSheetViews>
  <mergeCells count="32">
    <mergeCell ref="P108:Q108"/>
    <mergeCell ref="P109:Q109"/>
    <mergeCell ref="P110:Q110"/>
    <mergeCell ref="P116:Q116"/>
    <mergeCell ref="P117:Q117"/>
    <mergeCell ref="P118:Q118"/>
    <mergeCell ref="P111:Q111"/>
    <mergeCell ref="P112:Q112"/>
    <mergeCell ref="P113:Q113"/>
    <mergeCell ref="P114:Q114"/>
    <mergeCell ref="P115:Q115"/>
    <mergeCell ref="BM10:BM12"/>
    <mergeCell ref="BN10:BN12"/>
    <mergeCell ref="D11:E11"/>
    <mergeCell ref="F11:H11"/>
    <mergeCell ref="I11:J11"/>
    <mergeCell ref="R11:S11"/>
    <mergeCell ref="T11:U11"/>
    <mergeCell ref="S68:U68"/>
    <mergeCell ref="S75:U75"/>
    <mergeCell ref="C3:BK3"/>
    <mergeCell ref="C10:X10"/>
    <mergeCell ref="Y10:AH10"/>
    <mergeCell ref="AI10:AR10"/>
    <mergeCell ref="AS10:BB10"/>
    <mergeCell ref="BF10:BI10"/>
    <mergeCell ref="Y58:AH58"/>
    <mergeCell ref="AI58:AR58"/>
    <mergeCell ref="AS58:BB58"/>
    <mergeCell ref="C14:C24"/>
    <mergeCell ref="P62:Q62"/>
    <mergeCell ref="S63:U6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0" orientation="landscape" horizontalDpi="4294967294" r:id="rId2"/>
  <ignoredErrors>
    <ignoredError sqref="P38:P53" formula="1"/>
  </ignoredError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U57"/>
  <sheetViews>
    <sheetView showGridLines="0" showZeros="0" view="pageBreakPreview" zoomScaleNormal="100" zoomScaleSheetLayoutView="100" workbookViewId="0">
      <pane xSplit="10" ySplit="12" topLeftCell="P29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8.33203125" style="70" customWidth="1"/>
    <col min="17" max="17" width="4.88671875" style="70" customWidth="1"/>
    <col min="18" max="18" width="9.44140625" style="78" customWidth="1"/>
    <col min="19" max="19" width="13.8867187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59" width="8.5546875" style="67" customWidth="1"/>
    <col min="60" max="60" width="1.88671875" style="67" customWidth="1"/>
    <col min="61" max="61" width="1.6640625" style="67" customWidth="1"/>
    <col min="62" max="62" width="9.109375" style="67" customWidth="1"/>
    <col min="63" max="64" width="9.109375" style="70" customWidth="1"/>
    <col min="65" max="65" width="9.109375" style="67" customWidth="1"/>
    <col min="66" max="69" width="9.109375" style="67"/>
    <col min="70" max="70" width="5.5546875" style="67" customWidth="1"/>
    <col min="71" max="71" width="9.109375" style="67" customWidth="1"/>
    <col min="72" max="72" width="5.5546875" style="67" customWidth="1"/>
    <col min="73" max="73" width="4.6640625" style="67" customWidth="1"/>
    <col min="74" max="16384" width="9.109375" style="67"/>
  </cols>
  <sheetData>
    <row r="2" spans="1:73" ht="7.5" customHeight="1"/>
    <row r="3" spans="1:73" ht="29.25" customHeight="1" thickBot="1">
      <c r="C3" s="730" t="s">
        <v>270</v>
      </c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0"/>
      <c r="V3" s="730"/>
      <c r="W3" s="730"/>
      <c r="X3" s="730"/>
      <c r="Y3" s="730"/>
      <c r="Z3" s="730"/>
      <c r="AA3" s="730"/>
      <c r="AB3" s="730"/>
      <c r="AC3" s="730"/>
      <c r="AD3" s="730"/>
      <c r="AE3" s="730"/>
      <c r="AF3" s="730"/>
      <c r="AG3" s="730"/>
      <c r="AH3" s="730"/>
      <c r="AI3" s="730"/>
      <c r="AJ3" s="730"/>
      <c r="AK3" s="730"/>
      <c r="AL3" s="730"/>
      <c r="AM3" s="730"/>
      <c r="AN3" s="730"/>
      <c r="AO3" s="730"/>
      <c r="AP3" s="730"/>
      <c r="AQ3" s="730"/>
      <c r="AR3" s="730"/>
      <c r="AS3" s="730"/>
      <c r="AT3" s="730"/>
      <c r="AU3" s="730"/>
      <c r="AV3" s="730"/>
      <c r="AW3" s="730"/>
      <c r="AX3" s="730"/>
      <c r="AY3" s="730"/>
      <c r="AZ3" s="730"/>
      <c r="BA3" s="730"/>
      <c r="BB3" s="730"/>
      <c r="BC3" s="730"/>
      <c r="BD3" s="730"/>
      <c r="BE3" s="730"/>
      <c r="BF3" s="730"/>
      <c r="BG3" s="730"/>
      <c r="BH3" s="730"/>
      <c r="BI3" s="730"/>
    </row>
    <row r="4" spans="1:73" ht="23.25" customHeight="1">
      <c r="C4" s="64" t="str">
        <f>+'RESUMEN GENERAL BASE'!C4</f>
        <v>Obra</v>
      </c>
      <c r="E4" s="6"/>
      <c r="F4" s="56" t="s">
        <v>323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80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50"/>
      <c r="BI4" s="7"/>
    </row>
    <row r="5" spans="1:73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1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51"/>
      <c r="BI5" s="9"/>
    </row>
    <row r="6" spans="1:73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M6" s="62"/>
      <c r="N6" s="51"/>
      <c r="O6" s="62"/>
      <c r="P6" s="62"/>
      <c r="Q6" s="62"/>
      <c r="R6" s="62"/>
      <c r="S6" s="62"/>
      <c r="T6" s="281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51"/>
      <c r="BI6" s="9"/>
    </row>
    <row r="7" spans="1:73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M7" s="62"/>
      <c r="N7" s="51"/>
      <c r="O7" s="62"/>
      <c r="P7" s="62"/>
      <c r="Q7" s="62"/>
      <c r="R7" s="62"/>
      <c r="S7" s="62"/>
      <c r="T7" s="281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51"/>
      <c r="BI7" s="9"/>
    </row>
    <row r="8" spans="1:73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2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52"/>
      <c r="BI8" s="11"/>
    </row>
    <row r="9" spans="1:73" ht="6.75" customHeight="1" thickBot="1">
      <c r="C9" s="73"/>
      <c r="D9" s="73"/>
      <c r="E9" s="73"/>
      <c r="F9" s="71"/>
      <c r="G9" s="71"/>
      <c r="H9" s="71"/>
      <c r="I9" s="176"/>
      <c r="J9" s="71"/>
      <c r="K9" s="71"/>
      <c r="L9" s="74"/>
      <c r="M9" s="72"/>
      <c r="N9" s="71"/>
      <c r="O9" s="71"/>
      <c r="P9" s="71"/>
      <c r="Q9" s="71"/>
      <c r="R9" s="176"/>
      <c r="S9" s="278"/>
      <c r="T9" s="278"/>
      <c r="U9" s="278"/>
      <c r="V9" s="75"/>
      <c r="W9" s="71"/>
      <c r="X9" s="71"/>
      <c r="Y9" s="174"/>
      <c r="Z9" s="174"/>
      <c r="AA9" s="174"/>
      <c r="AB9" s="174"/>
      <c r="AC9" s="174"/>
      <c r="AD9" s="174"/>
      <c r="AE9" s="174"/>
      <c r="AF9" s="174"/>
      <c r="AG9" s="174"/>
    </row>
    <row r="10" spans="1:73" s="81" customFormat="1" ht="12.75" customHeight="1">
      <c r="C10" s="731" t="s">
        <v>145</v>
      </c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2"/>
      <c r="O10" s="732"/>
      <c r="P10" s="732"/>
      <c r="Q10" s="732"/>
      <c r="R10" s="732"/>
      <c r="S10" s="732"/>
      <c r="T10" s="732"/>
      <c r="U10" s="732"/>
      <c r="V10" s="732"/>
      <c r="W10" s="732"/>
      <c r="X10" s="733"/>
      <c r="Y10" s="734" t="s">
        <v>138</v>
      </c>
      <c r="Z10" s="735"/>
      <c r="AA10" s="735"/>
      <c r="AB10" s="735"/>
      <c r="AC10" s="735"/>
      <c r="AD10" s="735"/>
      <c r="AE10" s="735"/>
      <c r="AF10" s="735"/>
      <c r="AG10" s="735"/>
      <c r="AH10" s="736"/>
      <c r="AI10" s="737" t="s">
        <v>180</v>
      </c>
      <c r="AJ10" s="738"/>
      <c r="AK10" s="738"/>
      <c r="AL10" s="738"/>
      <c r="AM10" s="738"/>
      <c r="AN10" s="738"/>
      <c r="AO10" s="738"/>
      <c r="AP10" s="738"/>
      <c r="AQ10" s="738"/>
      <c r="AR10" s="739"/>
      <c r="AS10" s="740" t="s">
        <v>181</v>
      </c>
      <c r="AT10" s="741"/>
      <c r="AU10" s="741"/>
      <c r="AV10" s="741"/>
      <c r="AW10" s="741"/>
      <c r="AX10" s="741"/>
      <c r="AY10" s="741"/>
      <c r="AZ10" s="741"/>
      <c r="BA10" s="741"/>
      <c r="BB10" s="742"/>
      <c r="BC10" s="205" t="s">
        <v>182</v>
      </c>
      <c r="BD10" s="252" t="s">
        <v>199</v>
      </c>
      <c r="BE10" s="243" t="s">
        <v>202</v>
      </c>
      <c r="BF10" s="743" t="s">
        <v>1</v>
      </c>
      <c r="BG10" s="743"/>
      <c r="BH10" s="253"/>
      <c r="BI10" s="82"/>
      <c r="BK10" s="750" t="s">
        <v>136</v>
      </c>
      <c r="BL10" s="750" t="s">
        <v>137</v>
      </c>
    </row>
    <row r="11" spans="1:73" s="81" customFormat="1" ht="15" customHeight="1">
      <c r="C11" s="201" t="s">
        <v>143</v>
      </c>
      <c r="D11" s="753" t="s">
        <v>139</v>
      </c>
      <c r="E11" s="754"/>
      <c r="F11" s="754" t="s">
        <v>144</v>
      </c>
      <c r="G11" s="754"/>
      <c r="H11" s="755"/>
      <c r="I11" s="753" t="s">
        <v>135</v>
      </c>
      <c r="J11" s="755"/>
      <c r="K11" s="87" t="s">
        <v>140</v>
      </c>
      <c r="L11" s="88" t="s">
        <v>140</v>
      </c>
      <c r="M11" s="89" t="s">
        <v>141</v>
      </c>
      <c r="N11" s="249" t="s">
        <v>134</v>
      </c>
      <c r="O11" s="250" t="s">
        <v>134</v>
      </c>
      <c r="P11" s="235" t="s">
        <v>206</v>
      </c>
      <c r="Q11" s="235" t="s">
        <v>207</v>
      </c>
      <c r="R11" s="760" t="s">
        <v>178</v>
      </c>
      <c r="S11" s="761"/>
      <c r="T11" s="760" t="s">
        <v>179</v>
      </c>
      <c r="U11" s="761"/>
      <c r="V11" s="93" t="s">
        <v>142</v>
      </c>
      <c r="W11" s="94" t="s">
        <v>142</v>
      </c>
      <c r="X11" s="95" t="s">
        <v>142</v>
      </c>
      <c r="Y11" s="213">
        <v>0.61</v>
      </c>
      <c r="Z11" s="214">
        <v>1.01</v>
      </c>
      <c r="AA11" s="214">
        <v>1.26</v>
      </c>
      <c r="AB11" s="214">
        <v>1.51</v>
      </c>
      <c r="AC11" s="214">
        <f t="shared" ref="AC11:AG11" si="0">+AB12+0.01</f>
        <v>1.76</v>
      </c>
      <c r="AD11" s="214">
        <f t="shared" si="0"/>
        <v>2.0099999999999998</v>
      </c>
      <c r="AE11" s="214">
        <f t="shared" si="0"/>
        <v>2.5099999999999998</v>
      </c>
      <c r="AF11" s="214">
        <f t="shared" si="0"/>
        <v>3.01</v>
      </c>
      <c r="AG11" s="214">
        <f t="shared" si="0"/>
        <v>3.51</v>
      </c>
      <c r="AH11" s="215">
        <f>+AG12+0.01</f>
        <v>4.01</v>
      </c>
      <c r="AI11" s="206">
        <v>0.61</v>
      </c>
      <c r="AJ11" s="207">
        <v>1.01</v>
      </c>
      <c r="AK11" s="207">
        <v>1.26</v>
      </c>
      <c r="AL11" s="207">
        <v>1.51</v>
      </c>
      <c r="AM11" s="207">
        <f t="shared" ref="AM11:AQ11" si="1">+AL12+0.01</f>
        <v>1.76</v>
      </c>
      <c r="AN11" s="207">
        <f t="shared" si="1"/>
        <v>2.0099999999999998</v>
      </c>
      <c r="AO11" s="207">
        <f t="shared" si="1"/>
        <v>2.5099999999999998</v>
      </c>
      <c r="AP11" s="207">
        <f t="shared" si="1"/>
        <v>3.01</v>
      </c>
      <c r="AQ11" s="207">
        <f t="shared" si="1"/>
        <v>3.51</v>
      </c>
      <c r="AR11" s="208">
        <f>+AQ12+0.01</f>
        <v>4.01</v>
      </c>
      <c r="AS11" s="199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4" t="s">
        <v>183</v>
      </c>
      <c r="BD11" s="230" t="s">
        <v>200</v>
      </c>
      <c r="BE11" s="244" t="s">
        <v>203</v>
      </c>
      <c r="BF11" s="265"/>
      <c r="BG11" s="266"/>
      <c r="BH11" s="251"/>
      <c r="BI11" s="82"/>
      <c r="BK11" s="751"/>
      <c r="BL11" s="751"/>
    </row>
    <row r="12" spans="1:73" s="81" customFormat="1" ht="15.75" customHeight="1" thickBot="1">
      <c r="C12" s="202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7" t="s">
        <v>148</v>
      </c>
      <c r="J12" s="86" t="s">
        <v>149</v>
      </c>
      <c r="K12" s="90" t="s">
        <v>146</v>
      </c>
      <c r="L12" s="91" t="s">
        <v>147</v>
      </c>
      <c r="M12" s="92" t="s">
        <v>215</v>
      </c>
      <c r="N12" s="84" t="s">
        <v>217</v>
      </c>
      <c r="O12" s="86" t="s">
        <v>152</v>
      </c>
      <c r="P12" s="236" t="s">
        <v>213</v>
      </c>
      <c r="Q12" s="236" t="s">
        <v>214</v>
      </c>
      <c r="R12" s="177" t="s">
        <v>153</v>
      </c>
      <c r="S12" s="96" t="s">
        <v>154</v>
      </c>
      <c r="T12" s="177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6">
        <v>1</v>
      </c>
      <c r="Z12" s="217">
        <v>1.25</v>
      </c>
      <c r="AA12" s="217">
        <v>1.5</v>
      </c>
      <c r="AB12" s="217">
        <v>1.75</v>
      </c>
      <c r="AC12" s="218">
        <v>2</v>
      </c>
      <c r="AD12" s="218">
        <v>2.5</v>
      </c>
      <c r="AE12" s="218">
        <v>3</v>
      </c>
      <c r="AF12" s="218">
        <v>3.5</v>
      </c>
      <c r="AG12" s="218">
        <v>4</v>
      </c>
      <c r="AH12" s="219">
        <v>4.5</v>
      </c>
      <c r="AI12" s="209">
        <v>1</v>
      </c>
      <c r="AJ12" s="210">
        <v>1.25</v>
      </c>
      <c r="AK12" s="210">
        <v>1.5</v>
      </c>
      <c r="AL12" s="210">
        <v>1.75</v>
      </c>
      <c r="AM12" s="211">
        <v>2</v>
      </c>
      <c r="AN12" s="211">
        <v>2.5</v>
      </c>
      <c r="AO12" s="211">
        <v>3</v>
      </c>
      <c r="AP12" s="211">
        <v>3.5</v>
      </c>
      <c r="AQ12" s="211">
        <v>4</v>
      </c>
      <c r="AR12" s="212">
        <v>4.5</v>
      </c>
      <c r="AS12" s="200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184</v>
      </c>
      <c r="BD12" s="231" t="s">
        <v>201</v>
      </c>
      <c r="BE12" s="245" t="s">
        <v>204</v>
      </c>
      <c r="BF12" s="242" t="s">
        <v>218</v>
      </c>
      <c r="BG12" s="242" t="s">
        <v>219</v>
      </c>
      <c r="BH12" s="148"/>
      <c r="BI12" s="83"/>
      <c r="BK12" s="752"/>
      <c r="BL12" s="752"/>
    </row>
    <row r="13" spans="1:73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7"/>
      <c r="Q13" s="237"/>
      <c r="R13" s="108"/>
      <c r="S13" s="279"/>
      <c r="T13" s="108"/>
      <c r="U13" s="279"/>
      <c r="V13" s="108"/>
      <c r="W13" s="109"/>
      <c r="X13" s="188"/>
      <c r="Y13" s="193"/>
      <c r="Z13" s="100"/>
      <c r="AA13" s="100"/>
      <c r="AB13" s="100"/>
      <c r="AC13" s="110"/>
      <c r="AD13" s="110"/>
      <c r="AE13" s="110"/>
      <c r="AF13" s="110"/>
      <c r="AG13" s="110"/>
      <c r="AH13" s="111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2"/>
      <c r="BE13" s="232"/>
      <c r="BF13" s="232"/>
      <c r="BG13" s="232"/>
      <c r="BH13" s="111"/>
      <c r="BI13" s="83"/>
      <c r="BK13" s="112"/>
      <c r="BL13" s="112"/>
    </row>
    <row r="14" spans="1:73" s="124" customFormat="1" ht="16.5" customHeight="1">
      <c r="A14" s="124" t="str">
        <f>+IF(SUM(Y14:BB14)&gt;0,"OK","NO")</f>
        <v>OK</v>
      </c>
      <c r="C14" s="747" t="s">
        <v>220</v>
      </c>
      <c r="D14" s="113"/>
      <c r="E14" s="114"/>
      <c r="F14" s="114">
        <v>150</v>
      </c>
      <c r="G14" s="114" t="s">
        <v>196</v>
      </c>
      <c r="H14" s="115" t="s">
        <v>197</v>
      </c>
      <c r="I14" s="175">
        <v>9.9999999999999995E-8</v>
      </c>
      <c r="J14" s="116">
        <v>10.69</v>
      </c>
      <c r="K14" s="117">
        <f t="shared" ref="K14:K33" si="3">J14-I14</f>
        <v>10.6899999</v>
      </c>
      <c r="L14" s="118">
        <f>+ROUND(K14*SQRT((M14/100)^2+1),2)</f>
        <v>10.74</v>
      </c>
      <c r="M14" s="116">
        <v>-9.4499999999999993</v>
      </c>
      <c r="N14" s="113" t="s">
        <v>216</v>
      </c>
      <c r="O14" s="115" t="s">
        <v>4</v>
      </c>
      <c r="P14" s="238">
        <f t="shared" ref="P14:P35" si="4">+IF(O14="N",IF(X14&gt;1.75,"E",0),0)</f>
        <v>0</v>
      </c>
      <c r="Q14" s="238" t="s">
        <v>205</v>
      </c>
      <c r="R14" s="267">
        <f>422+0.16</f>
        <v>422.16</v>
      </c>
      <c r="S14" s="116">
        <v>421.07</v>
      </c>
      <c r="T14" s="267">
        <f>420+1.34</f>
        <v>421.34</v>
      </c>
      <c r="U14" s="264">
        <v>420.24</v>
      </c>
      <c r="V14" s="117">
        <f t="shared" ref="V14" si="5">IF((R14-T14)&lt;0,0,R14-T14)</f>
        <v>0.82000000000005002</v>
      </c>
      <c r="W14" s="118">
        <f t="shared" ref="W14" si="6">IF((S14-U14)&lt;0,0,S14-U14)</f>
        <v>0.82999999999998408</v>
      </c>
      <c r="X14" s="189">
        <f t="shared" ref="X14" si="7">ROUND(AVERAGE(V14:W14),2)</f>
        <v>0.83</v>
      </c>
      <c r="Y14" s="145">
        <f t="shared" ref="Y14:AH23" si="8">+IF($O14="N",IF($X14&gt;=Y$11,IF($X14&lt;=Y$12,$L14,0),0),0)</f>
        <v>0</v>
      </c>
      <c r="Z14" s="121">
        <f t="shared" si="8"/>
        <v>0</v>
      </c>
      <c r="AA14" s="121">
        <f t="shared" si="8"/>
        <v>0</v>
      </c>
      <c r="AB14" s="121">
        <f t="shared" si="8"/>
        <v>0</v>
      </c>
      <c r="AC14" s="121">
        <f t="shared" si="8"/>
        <v>0</v>
      </c>
      <c r="AD14" s="121">
        <f t="shared" si="8"/>
        <v>0</v>
      </c>
      <c r="AE14" s="121">
        <f t="shared" si="8"/>
        <v>0</v>
      </c>
      <c r="AF14" s="121">
        <f t="shared" si="8"/>
        <v>0</v>
      </c>
      <c r="AG14" s="121">
        <f t="shared" si="8"/>
        <v>0</v>
      </c>
      <c r="AH14" s="122">
        <f t="shared" si="8"/>
        <v>0</v>
      </c>
      <c r="AI14" s="145">
        <f t="shared" ref="AI14:AR23" si="9">+IF($O14="SR",IF($X14&gt;=AI$11,IF($X14&lt;=AI$12,$L14,0),0),0)</f>
        <v>0</v>
      </c>
      <c r="AJ14" s="121">
        <f t="shared" si="9"/>
        <v>0</v>
      </c>
      <c r="AK14" s="121">
        <f t="shared" si="9"/>
        <v>0</v>
      </c>
      <c r="AL14" s="121">
        <f t="shared" si="9"/>
        <v>0</v>
      </c>
      <c r="AM14" s="121">
        <f t="shared" si="9"/>
        <v>0</v>
      </c>
      <c r="AN14" s="121">
        <f t="shared" si="9"/>
        <v>0</v>
      </c>
      <c r="AO14" s="121">
        <f t="shared" si="9"/>
        <v>0</v>
      </c>
      <c r="AP14" s="121">
        <f t="shared" si="9"/>
        <v>0</v>
      </c>
      <c r="AQ14" s="121">
        <f t="shared" si="9"/>
        <v>0</v>
      </c>
      <c r="AR14" s="122">
        <f t="shared" si="9"/>
        <v>0</v>
      </c>
      <c r="AS14" s="145">
        <f t="shared" ref="AS14:BB23" si="10">+IF($O14="R",IF($X14&gt;=AS$11,IF($X14&lt;=AS$12,$L14,0),0),0)</f>
        <v>10.74</v>
      </c>
      <c r="AT14" s="121">
        <f t="shared" si="10"/>
        <v>0</v>
      </c>
      <c r="AU14" s="121">
        <f t="shared" si="10"/>
        <v>0</v>
      </c>
      <c r="AV14" s="121">
        <f t="shared" si="10"/>
        <v>0</v>
      </c>
      <c r="AW14" s="121">
        <f t="shared" si="10"/>
        <v>0</v>
      </c>
      <c r="AX14" s="121">
        <f t="shared" si="10"/>
        <v>0</v>
      </c>
      <c r="AY14" s="121">
        <f t="shared" si="10"/>
        <v>0</v>
      </c>
      <c r="AZ14" s="121">
        <f t="shared" si="10"/>
        <v>0</v>
      </c>
      <c r="BA14" s="121">
        <f t="shared" si="10"/>
        <v>0</v>
      </c>
      <c r="BB14" s="122">
        <f t="shared" si="10"/>
        <v>0</v>
      </c>
      <c r="BC14" s="145">
        <f>+L14</f>
        <v>10.74</v>
      </c>
      <c r="BD14" s="192">
        <f>+IF(P14="E",L14,0)</f>
        <v>0</v>
      </c>
      <c r="BE14" s="192">
        <f>+IF(Q14="A",L14,0)</f>
        <v>10.74</v>
      </c>
      <c r="BF14" s="192">
        <f>+IF($N14=BF$12,$L14*(MAX($F14/1000+0.6,0.8)),0)</f>
        <v>0</v>
      </c>
      <c r="BG14" s="192">
        <f>+IF($N14=BG$12,$L14*1.1,0)</f>
        <v>0</v>
      </c>
      <c r="BH14" s="122"/>
      <c r="BI14" s="123"/>
      <c r="BK14" s="125">
        <f t="shared" ref="BK14:BK36" si="11">+IF(N14="AF",L14,0)</f>
        <v>0</v>
      </c>
      <c r="BL14" s="125"/>
      <c r="BS14" s="124" t="s">
        <v>209</v>
      </c>
    </row>
    <row r="15" spans="1:73" s="81" customFormat="1" ht="16.5" customHeight="1">
      <c r="A15" s="124" t="str">
        <f t="shared" ref="A15:A35" si="12">+IF(SUM(Y15:BB15)&gt;0,"OK","NO")</f>
        <v>OK</v>
      </c>
      <c r="C15" s="748"/>
      <c r="D15" s="113"/>
      <c r="E15" s="114"/>
      <c r="F15" s="114">
        <f>+F14</f>
        <v>150</v>
      </c>
      <c r="G15" s="263" t="str">
        <f>+G14</f>
        <v>HD</v>
      </c>
      <c r="H15" s="115" t="str">
        <f>+H14</f>
        <v>K-9</v>
      </c>
      <c r="I15" s="117">
        <f t="shared" ref="I15:I35" si="13">J14</f>
        <v>10.69</v>
      </c>
      <c r="J15" s="116">
        <v>33.92</v>
      </c>
      <c r="K15" s="117">
        <f t="shared" si="3"/>
        <v>23.230000000000004</v>
      </c>
      <c r="L15" s="118">
        <f t="shared" ref="L15:L35" si="14">+ROUND(K15*SQRT((M15/100)^2+1),2)</f>
        <v>27.4</v>
      </c>
      <c r="M15" s="116">
        <v>-62.56</v>
      </c>
      <c r="N15" s="113" t="s">
        <v>216</v>
      </c>
      <c r="O15" s="115" t="s">
        <v>4</v>
      </c>
      <c r="P15" s="238">
        <f t="shared" si="4"/>
        <v>0</v>
      </c>
      <c r="Q15" s="238" t="s">
        <v>205</v>
      </c>
      <c r="R15" s="117">
        <f t="shared" ref="R15:R35" si="15">S14</f>
        <v>421.07</v>
      </c>
      <c r="S15" s="116">
        <v>407.87</v>
      </c>
      <c r="T15" s="117">
        <f t="shared" ref="T15:T35" si="16">U14</f>
        <v>420.24</v>
      </c>
      <c r="U15" s="264">
        <f t="shared" ref="U15:U22" si="17">+T15+K15*M15/100</f>
        <v>405.707312</v>
      </c>
      <c r="V15" s="117">
        <f t="shared" ref="V15:W16" si="18">IF((R15-T15)&lt;0,0,R15-T15)</f>
        <v>0.82999999999998408</v>
      </c>
      <c r="W15" s="118">
        <f t="shared" si="18"/>
        <v>2.1626880000000028</v>
      </c>
      <c r="X15" s="189">
        <f t="shared" ref="X15:X35" si="19">ROUND(AVERAGE(V15:W15),2)</f>
        <v>1.5</v>
      </c>
      <c r="Y15" s="145">
        <f t="shared" si="8"/>
        <v>0</v>
      </c>
      <c r="Z15" s="121">
        <f t="shared" si="8"/>
        <v>0</v>
      </c>
      <c r="AA15" s="121">
        <f t="shared" si="8"/>
        <v>0</v>
      </c>
      <c r="AB15" s="121">
        <f t="shared" si="8"/>
        <v>0</v>
      </c>
      <c r="AC15" s="121">
        <f t="shared" si="8"/>
        <v>0</v>
      </c>
      <c r="AD15" s="121">
        <f t="shared" si="8"/>
        <v>0</v>
      </c>
      <c r="AE15" s="121">
        <f t="shared" si="8"/>
        <v>0</v>
      </c>
      <c r="AF15" s="121">
        <f t="shared" si="8"/>
        <v>0</v>
      </c>
      <c r="AG15" s="121">
        <f t="shared" si="8"/>
        <v>0</v>
      </c>
      <c r="AH15" s="122">
        <f t="shared" si="8"/>
        <v>0</v>
      </c>
      <c r="AI15" s="145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  <c r="AM15" s="121">
        <f t="shared" si="9"/>
        <v>0</v>
      </c>
      <c r="AN15" s="121">
        <f t="shared" si="9"/>
        <v>0</v>
      </c>
      <c r="AO15" s="121">
        <f t="shared" si="9"/>
        <v>0</v>
      </c>
      <c r="AP15" s="121">
        <f t="shared" si="9"/>
        <v>0</v>
      </c>
      <c r="AQ15" s="121">
        <f t="shared" si="9"/>
        <v>0</v>
      </c>
      <c r="AR15" s="122">
        <f t="shared" si="9"/>
        <v>0</v>
      </c>
      <c r="AS15" s="145">
        <f t="shared" si="10"/>
        <v>0</v>
      </c>
      <c r="AT15" s="121">
        <f t="shared" si="10"/>
        <v>0</v>
      </c>
      <c r="AU15" s="121">
        <f t="shared" si="10"/>
        <v>27.4</v>
      </c>
      <c r="AV15" s="121">
        <f t="shared" si="10"/>
        <v>0</v>
      </c>
      <c r="AW15" s="121">
        <f t="shared" si="10"/>
        <v>0</v>
      </c>
      <c r="AX15" s="121">
        <f t="shared" si="10"/>
        <v>0</v>
      </c>
      <c r="AY15" s="121">
        <f t="shared" si="10"/>
        <v>0</v>
      </c>
      <c r="AZ15" s="121">
        <f t="shared" si="10"/>
        <v>0</v>
      </c>
      <c r="BA15" s="121">
        <f t="shared" si="10"/>
        <v>0</v>
      </c>
      <c r="BB15" s="122">
        <f t="shared" si="10"/>
        <v>0</v>
      </c>
      <c r="BC15" s="145">
        <f>+IF(N15="SP",L15,0)</f>
        <v>27.4</v>
      </c>
      <c r="BD15" s="192">
        <f t="shared" ref="BD15:BD33" si="20">+IF(P15="E",L15,0)</f>
        <v>0</v>
      </c>
      <c r="BE15" s="192">
        <f t="shared" ref="BE15:BE33" si="21">+IF(Q15="A",L15,0)</f>
        <v>27.4</v>
      </c>
      <c r="BF15" s="192">
        <f t="shared" ref="BF15:BF35" si="22">+IF($N15=BF$12,$L15*(MAX($F15/1000+0.6,0.8)),0)</f>
        <v>0</v>
      </c>
      <c r="BG15" s="192">
        <f t="shared" ref="BG15:BG35" si="23">+IF($N15=BG$12,$L15*1.1,0)</f>
        <v>0</v>
      </c>
      <c r="BH15" s="122"/>
      <c r="BI15" s="123"/>
      <c r="BK15" s="125">
        <f t="shared" si="11"/>
        <v>0</v>
      </c>
      <c r="BL15" s="125">
        <f t="shared" ref="BL15:BL33" si="24">+IF(O15="SP",K15,0)</f>
        <v>0</v>
      </c>
    </row>
    <row r="16" spans="1:73" s="81" customFormat="1" ht="16.5" customHeight="1">
      <c r="A16" s="124" t="str">
        <f t="shared" si="12"/>
        <v>OK</v>
      </c>
      <c r="C16" s="748"/>
      <c r="D16" s="113"/>
      <c r="E16" s="114"/>
      <c r="F16" s="114">
        <f t="shared" ref="F16:H27" si="25">+F15</f>
        <v>150</v>
      </c>
      <c r="G16" s="263" t="str">
        <f t="shared" si="25"/>
        <v>HD</v>
      </c>
      <c r="H16" s="115" t="str">
        <f t="shared" si="25"/>
        <v>K-9</v>
      </c>
      <c r="I16" s="117">
        <f t="shared" si="13"/>
        <v>33.92</v>
      </c>
      <c r="J16" s="116">
        <v>35.799999999999997</v>
      </c>
      <c r="K16" s="117">
        <f t="shared" si="3"/>
        <v>1.8799999999999955</v>
      </c>
      <c r="L16" s="118">
        <f t="shared" si="14"/>
        <v>3.23</v>
      </c>
      <c r="M16" s="116">
        <v>-139.57</v>
      </c>
      <c r="N16" s="113" t="s">
        <v>216</v>
      </c>
      <c r="O16" s="115" t="s">
        <v>4</v>
      </c>
      <c r="P16" s="238">
        <f t="shared" si="4"/>
        <v>0</v>
      </c>
      <c r="Q16" s="238" t="s">
        <v>205</v>
      </c>
      <c r="R16" s="117">
        <f t="shared" si="15"/>
        <v>407.87</v>
      </c>
      <c r="S16" s="116">
        <v>406.78</v>
      </c>
      <c r="T16" s="117">
        <f t="shared" si="16"/>
        <v>405.707312</v>
      </c>
      <c r="U16" s="264">
        <f t="shared" si="17"/>
        <v>403.08339599999999</v>
      </c>
      <c r="V16" s="117">
        <f t="shared" si="18"/>
        <v>2.1626880000000028</v>
      </c>
      <c r="W16" s="118">
        <f t="shared" si="18"/>
        <v>3.6966039999999794</v>
      </c>
      <c r="X16" s="189">
        <f t="shared" si="19"/>
        <v>2.93</v>
      </c>
      <c r="Y16" s="145">
        <f t="shared" si="8"/>
        <v>0</v>
      </c>
      <c r="Z16" s="121">
        <f t="shared" si="8"/>
        <v>0</v>
      </c>
      <c r="AA16" s="121">
        <f t="shared" si="8"/>
        <v>0</v>
      </c>
      <c r="AB16" s="121">
        <f t="shared" si="8"/>
        <v>0</v>
      </c>
      <c r="AC16" s="121">
        <f t="shared" si="8"/>
        <v>0</v>
      </c>
      <c r="AD16" s="121">
        <f t="shared" si="8"/>
        <v>0</v>
      </c>
      <c r="AE16" s="121">
        <f t="shared" si="8"/>
        <v>0</v>
      </c>
      <c r="AF16" s="121">
        <f t="shared" si="8"/>
        <v>0</v>
      </c>
      <c r="AG16" s="121">
        <f t="shared" si="8"/>
        <v>0</v>
      </c>
      <c r="AH16" s="122">
        <f t="shared" si="8"/>
        <v>0</v>
      </c>
      <c r="AI16" s="145">
        <f t="shared" si="9"/>
        <v>0</v>
      </c>
      <c r="AJ16" s="121">
        <f t="shared" si="9"/>
        <v>0</v>
      </c>
      <c r="AK16" s="121">
        <f t="shared" si="9"/>
        <v>0</v>
      </c>
      <c r="AL16" s="121">
        <f t="shared" si="9"/>
        <v>0</v>
      </c>
      <c r="AM16" s="121">
        <f t="shared" si="9"/>
        <v>0</v>
      </c>
      <c r="AN16" s="121">
        <f t="shared" si="9"/>
        <v>0</v>
      </c>
      <c r="AO16" s="121">
        <f t="shared" si="9"/>
        <v>0</v>
      </c>
      <c r="AP16" s="121">
        <f t="shared" si="9"/>
        <v>0</v>
      </c>
      <c r="AQ16" s="121">
        <f t="shared" si="9"/>
        <v>0</v>
      </c>
      <c r="AR16" s="122">
        <f t="shared" si="9"/>
        <v>0</v>
      </c>
      <c r="AS16" s="145">
        <f t="shared" si="10"/>
        <v>0</v>
      </c>
      <c r="AT16" s="121">
        <f t="shared" si="10"/>
        <v>0</v>
      </c>
      <c r="AU16" s="121">
        <f t="shared" si="10"/>
        <v>0</v>
      </c>
      <c r="AV16" s="121">
        <f t="shared" si="10"/>
        <v>0</v>
      </c>
      <c r="AW16" s="121">
        <f t="shared" si="10"/>
        <v>0</v>
      </c>
      <c r="AX16" s="121">
        <f t="shared" si="10"/>
        <v>0</v>
      </c>
      <c r="AY16" s="121">
        <f t="shared" si="10"/>
        <v>3.23</v>
      </c>
      <c r="AZ16" s="121">
        <f t="shared" si="10"/>
        <v>0</v>
      </c>
      <c r="BA16" s="121">
        <f t="shared" si="10"/>
        <v>0</v>
      </c>
      <c r="BB16" s="122">
        <f t="shared" si="10"/>
        <v>0</v>
      </c>
      <c r="BC16" s="145">
        <f>+IF(N16="SP",L16,0)</f>
        <v>3.23</v>
      </c>
      <c r="BD16" s="192">
        <f t="shared" si="20"/>
        <v>0</v>
      </c>
      <c r="BE16" s="192">
        <f t="shared" si="21"/>
        <v>3.23</v>
      </c>
      <c r="BF16" s="192">
        <f t="shared" si="22"/>
        <v>0</v>
      </c>
      <c r="BG16" s="192">
        <f t="shared" si="23"/>
        <v>0</v>
      </c>
      <c r="BH16" s="122"/>
      <c r="BI16" s="123"/>
      <c r="BK16" s="125">
        <f t="shared" si="11"/>
        <v>0</v>
      </c>
      <c r="BL16" s="125">
        <f t="shared" si="24"/>
        <v>0</v>
      </c>
      <c r="BQ16" s="81">
        <v>0.1</v>
      </c>
      <c r="BS16" s="81" t="s">
        <v>208</v>
      </c>
      <c r="BU16" s="81">
        <v>0.1</v>
      </c>
    </row>
    <row r="17" spans="1:64" s="81" customFormat="1" ht="16.5" customHeight="1">
      <c r="A17" s="124" t="str">
        <f t="shared" si="12"/>
        <v>OK</v>
      </c>
      <c r="C17" s="748"/>
      <c r="D17" s="113"/>
      <c r="E17" s="114"/>
      <c r="F17" s="114">
        <f t="shared" si="25"/>
        <v>150</v>
      </c>
      <c r="G17" s="263" t="str">
        <f t="shared" si="25"/>
        <v>HD</v>
      </c>
      <c r="H17" s="115" t="str">
        <f t="shared" si="25"/>
        <v>K-9</v>
      </c>
      <c r="I17" s="117">
        <f t="shared" si="13"/>
        <v>35.799999999999997</v>
      </c>
      <c r="J17" s="116">
        <v>40.69</v>
      </c>
      <c r="K17" s="117">
        <f t="shared" si="3"/>
        <v>4.8900000000000006</v>
      </c>
      <c r="L17" s="118">
        <f t="shared" si="14"/>
        <v>5.2</v>
      </c>
      <c r="M17" s="116">
        <v>-35.92</v>
      </c>
      <c r="N17" s="113" t="s">
        <v>216</v>
      </c>
      <c r="O17" s="115" t="s">
        <v>4</v>
      </c>
      <c r="P17" s="238">
        <f t="shared" si="4"/>
        <v>0</v>
      </c>
      <c r="Q17" s="238" t="s">
        <v>205</v>
      </c>
      <c r="R17" s="117">
        <f t="shared" si="15"/>
        <v>406.78</v>
      </c>
      <c r="S17" s="116">
        <v>403.09</v>
      </c>
      <c r="T17" s="117">
        <f t="shared" si="16"/>
        <v>403.08339599999999</v>
      </c>
      <c r="U17" s="264">
        <f t="shared" si="17"/>
        <v>401.326908</v>
      </c>
      <c r="V17" s="117">
        <f t="shared" ref="V17:V35" si="26">IF((R17-T17)&lt;0,0,R17-T17)</f>
        <v>3.6966039999999794</v>
      </c>
      <c r="W17" s="118">
        <f t="shared" ref="W17:W35" si="27">IF((S17-U17)&lt;0,0,S17-U17)</f>
        <v>1.7630919999999719</v>
      </c>
      <c r="X17" s="189">
        <f t="shared" si="19"/>
        <v>2.73</v>
      </c>
      <c r="Y17" s="145">
        <f t="shared" si="8"/>
        <v>0</v>
      </c>
      <c r="Z17" s="121">
        <f t="shared" si="8"/>
        <v>0</v>
      </c>
      <c r="AA17" s="121">
        <f t="shared" si="8"/>
        <v>0</v>
      </c>
      <c r="AB17" s="121">
        <f t="shared" si="8"/>
        <v>0</v>
      </c>
      <c r="AC17" s="121">
        <f t="shared" si="8"/>
        <v>0</v>
      </c>
      <c r="AD17" s="121">
        <f t="shared" si="8"/>
        <v>0</v>
      </c>
      <c r="AE17" s="121">
        <f t="shared" si="8"/>
        <v>0</v>
      </c>
      <c r="AF17" s="121">
        <f t="shared" si="8"/>
        <v>0</v>
      </c>
      <c r="AG17" s="121">
        <f t="shared" si="8"/>
        <v>0</v>
      </c>
      <c r="AH17" s="122">
        <f t="shared" si="8"/>
        <v>0</v>
      </c>
      <c r="AI17" s="145">
        <f t="shared" si="9"/>
        <v>0</v>
      </c>
      <c r="AJ17" s="121">
        <f t="shared" si="9"/>
        <v>0</v>
      </c>
      <c r="AK17" s="121">
        <f t="shared" si="9"/>
        <v>0</v>
      </c>
      <c r="AL17" s="121">
        <f t="shared" si="9"/>
        <v>0</v>
      </c>
      <c r="AM17" s="121">
        <f t="shared" si="9"/>
        <v>0</v>
      </c>
      <c r="AN17" s="121">
        <f t="shared" si="9"/>
        <v>0</v>
      </c>
      <c r="AO17" s="121">
        <f t="shared" si="9"/>
        <v>0</v>
      </c>
      <c r="AP17" s="121">
        <f t="shared" si="9"/>
        <v>0</v>
      </c>
      <c r="AQ17" s="121">
        <f t="shared" si="9"/>
        <v>0</v>
      </c>
      <c r="AR17" s="122">
        <f t="shared" si="9"/>
        <v>0</v>
      </c>
      <c r="AS17" s="145">
        <f t="shared" si="10"/>
        <v>0</v>
      </c>
      <c r="AT17" s="121">
        <f t="shared" si="10"/>
        <v>0</v>
      </c>
      <c r="AU17" s="121">
        <f t="shared" si="10"/>
        <v>0</v>
      </c>
      <c r="AV17" s="121">
        <f t="shared" si="10"/>
        <v>0</v>
      </c>
      <c r="AW17" s="121">
        <f t="shared" si="10"/>
        <v>0</v>
      </c>
      <c r="AX17" s="121">
        <f t="shared" si="10"/>
        <v>0</v>
      </c>
      <c r="AY17" s="121">
        <f t="shared" si="10"/>
        <v>5.2</v>
      </c>
      <c r="AZ17" s="121">
        <f t="shared" si="10"/>
        <v>0</v>
      </c>
      <c r="BA17" s="121">
        <f t="shared" si="10"/>
        <v>0</v>
      </c>
      <c r="BB17" s="122">
        <f t="shared" si="10"/>
        <v>0</v>
      </c>
      <c r="BC17" s="145">
        <f>+IF(N17="SP",L17,0)</f>
        <v>5.2</v>
      </c>
      <c r="BD17" s="192">
        <f t="shared" si="20"/>
        <v>0</v>
      </c>
      <c r="BE17" s="192">
        <f t="shared" si="21"/>
        <v>5.2</v>
      </c>
      <c r="BF17" s="192">
        <f t="shared" si="22"/>
        <v>0</v>
      </c>
      <c r="BG17" s="192">
        <f t="shared" si="23"/>
        <v>0</v>
      </c>
      <c r="BH17" s="122"/>
      <c r="BI17" s="123"/>
      <c r="BK17" s="125">
        <f t="shared" si="11"/>
        <v>0</v>
      </c>
      <c r="BL17" s="125">
        <f t="shared" si="24"/>
        <v>0</v>
      </c>
    </row>
    <row r="18" spans="1:64" s="81" customFormat="1" ht="16.5" customHeight="1">
      <c r="A18" s="124" t="str">
        <f t="shared" si="12"/>
        <v>OK</v>
      </c>
      <c r="C18" s="748"/>
      <c r="D18" s="113"/>
      <c r="E18" s="114"/>
      <c r="F18" s="114">
        <f t="shared" ref="F18:H19" si="28">+F16</f>
        <v>150</v>
      </c>
      <c r="G18" s="263" t="str">
        <f t="shared" si="28"/>
        <v>HD</v>
      </c>
      <c r="H18" s="115" t="str">
        <f t="shared" si="28"/>
        <v>K-9</v>
      </c>
      <c r="I18" s="117">
        <f t="shared" si="13"/>
        <v>40.69</v>
      </c>
      <c r="J18" s="116">
        <v>80</v>
      </c>
      <c r="K18" s="117">
        <f t="shared" ref="K18" si="29">J18-I18</f>
        <v>39.31</v>
      </c>
      <c r="L18" s="118">
        <f t="shared" si="14"/>
        <v>39.31</v>
      </c>
      <c r="M18" s="116">
        <v>0</v>
      </c>
      <c r="N18" s="113" t="s">
        <v>216</v>
      </c>
      <c r="O18" s="115" t="s">
        <v>4</v>
      </c>
      <c r="P18" s="238">
        <f t="shared" si="4"/>
        <v>0</v>
      </c>
      <c r="Q18" s="238"/>
      <c r="R18" s="117">
        <f t="shared" si="15"/>
        <v>403.09</v>
      </c>
      <c r="S18" s="116">
        <v>402.88</v>
      </c>
      <c r="T18" s="117">
        <f t="shared" si="16"/>
        <v>401.326908</v>
      </c>
      <c r="U18" s="264">
        <f t="shared" si="17"/>
        <v>401.326908</v>
      </c>
      <c r="V18" s="117">
        <f t="shared" si="26"/>
        <v>1.7630919999999719</v>
      </c>
      <c r="W18" s="118">
        <f t="shared" si="27"/>
        <v>1.5530919999999924</v>
      </c>
      <c r="X18" s="189">
        <f t="shared" ref="X18" si="30">ROUND(AVERAGE(V18:W18),2)</f>
        <v>1.66</v>
      </c>
      <c r="Y18" s="145">
        <f t="shared" si="8"/>
        <v>0</v>
      </c>
      <c r="Z18" s="121">
        <f t="shared" si="8"/>
        <v>0</v>
      </c>
      <c r="AA18" s="121">
        <f t="shared" si="8"/>
        <v>0</v>
      </c>
      <c r="AB18" s="121">
        <f t="shared" si="8"/>
        <v>0</v>
      </c>
      <c r="AC18" s="121">
        <f t="shared" si="8"/>
        <v>0</v>
      </c>
      <c r="AD18" s="121">
        <f t="shared" si="8"/>
        <v>0</v>
      </c>
      <c r="AE18" s="121">
        <f t="shared" si="8"/>
        <v>0</v>
      </c>
      <c r="AF18" s="121">
        <f t="shared" si="8"/>
        <v>0</v>
      </c>
      <c r="AG18" s="121">
        <f t="shared" si="8"/>
        <v>0</v>
      </c>
      <c r="AH18" s="122">
        <f t="shared" si="8"/>
        <v>0</v>
      </c>
      <c r="AI18" s="145">
        <f t="shared" si="9"/>
        <v>0</v>
      </c>
      <c r="AJ18" s="121">
        <f t="shared" si="9"/>
        <v>0</v>
      </c>
      <c r="AK18" s="121">
        <f t="shared" si="9"/>
        <v>0</v>
      </c>
      <c r="AL18" s="121">
        <f t="shared" si="9"/>
        <v>0</v>
      </c>
      <c r="AM18" s="121">
        <f t="shared" si="9"/>
        <v>0</v>
      </c>
      <c r="AN18" s="121">
        <f t="shared" si="9"/>
        <v>0</v>
      </c>
      <c r="AO18" s="121">
        <f t="shared" si="9"/>
        <v>0</v>
      </c>
      <c r="AP18" s="121">
        <f t="shared" si="9"/>
        <v>0</v>
      </c>
      <c r="AQ18" s="121">
        <f t="shared" si="9"/>
        <v>0</v>
      </c>
      <c r="AR18" s="122">
        <f t="shared" si="9"/>
        <v>0</v>
      </c>
      <c r="AS18" s="145">
        <f t="shared" si="10"/>
        <v>0</v>
      </c>
      <c r="AT18" s="121">
        <f t="shared" si="10"/>
        <v>0</v>
      </c>
      <c r="AU18" s="121">
        <f t="shared" si="10"/>
        <v>0</v>
      </c>
      <c r="AV18" s="121">
        <f t="shared" si="10"/>
        <v>39.31</v>
      </c>
      <c r="AW18" s="121">
        <f t="shared" si="10"/>
        <v>0</v>
      </c>
      <c r="AX18" s="121">
        <f t="shared" si="10"/>
        <v>0</v>
      </c>
      <c r="AY18" s="121">
        <f t="shared" si="10"/>
        <v>0</v>
      </c>
      <c r="AZ18" s="121">
        <f t="shared" si="10"/>
        <v>0</v>
      </c>
      <c r="BA18" s="121">
        <f t="shared" si="10"/>
        <v>0</v>
      </c>
      <c r="BB18" s="122">
        <f t="shared" si="10"/>
        <v>0</v>
      </c>
      <c r="BC18" s="145">
        <f t="shared" ref="BC18" si="31">+IF(N18="SP",L18,0)</f>
        <v>39.31</v>
      </c>
      <c r="BD18" s="192">
        <f t="shared" ref="BD18" si="32">+IF(P18="E",L18,0)</f>
        <v>0</v>
      </c>
      <c r="BE18" s="192">
        <f t="shared" ref="BE18" si="33">+IF(Q18="A",L18,0)</f>
        <v>0</v>
      </c>
      <c r="BF18" s="192">
        <f t="shared" si="22"/>
        <v>0</v>
      </c>
      <c r="BG18" s="192">
        <f t="shared" si="23"/>
        <v>0</v>
      </c>
      <c r="BH18" s="122"/>
      <c r="BI18" s="123"/>
      <c r="BK18" s="125">
        <f t="shared" ref="BK18" si="34">+IF(N18="AF",L18,0)</f>
        <v>0</v>
      </c>
      <c r="BL18" s="125">
        <f t="shared" ref="BL18" si="35">+IF(O18="SP",K18,0)</f>
        <v>0</v>
      </c>
    </row>
    <row r="19" spans="1:64" s="81" customFormat="1" ht="16.5" customHeight="1">
      <c r="A19" s="124" t="str">
        <f t="shared" si="12"/>
        <v>OK</v>
      </c>
      <c r="C19" s="748"/>
      <c r="D19" s="113"/>
      <c r="E19" s="114"/>
      <c r="F19" s="114">
        <f t="shared" si="28"/>
        <v>150</v>
      </c>
      <c r="G19" s="263" t="str">
        <f t="shared" si="28"/>
        <v>HD</v>
      </c>
      <c r="H19" s="115" t="str">
        <f t="shared" si="28"/>
        <v>K-9</v>
      </c>
      <c r="I19" s="117">
        <f t="shared" si="13"/>
        <v>80</v>
      </c>
      <c r="J19" s="116">
        <v>89.259999999999991</v>
      </c>
      <c r="K19" s="117">
        <f t="shared" si="3"/>
        <v>9.2599999999999909</v>
      </c>
      <c r="L19" s="118">
        <f t="shared" si="14"/>
        <v>9.26</v>
      </c>
      <c r="M19" s="116">
        <v>0</v>
      </c>
      <c r="N19" s="113" t="s">
        <v>218</v>
      </c>
      <c r="O19" s="115" t="s">
        <v>3</v>
      </c>
      <c r="P19" s="238">
        <f t="shared" si="4"/>
        <v>0</v>
      </c>
      <c r="Q19" s="238"/>
      <c r="R19" s="117">
        <f t="shared" si="15"/>
        <v>402.88</v>
      </c>
      <c r="S19" s="116">
        <v>402.88</v>
      </c>
      <c r="T19" s="117">
        <f t="shared" si="16"/>
        <v>401.326908</v>
      </c>
      <c r="U19" s="264">
        <f t="shared" si="17"/>
        <v>401.326908</v>
      </c>
      <c r="V19" s="117">
        <f t="shared" si="26"/>
        <v>1.5530919999999924</v>
      </c>
      <c r="W19" s="118">
        <f t="shared" si="27"/>
        <v>1.5530919999999924</v>
      </c>
      <c r="X19" s="189">
        <f t="shared" si="19"/>
        <v>1.55</v>
      </c>
      <c r="Y19" s="145">
        <f t="shared" si="8"/>
        <v>0</v>
      </c>
      <c r="Z19" s="121">
        <f t="shared" si="8"/>
        <v>0</v>
      </c>
      <c r="AA19" s="121">
        <f t="shared" si="8"/>
        <v>0</v>
      </c>
      <c r="AB19" s="121">
        <f t="shared" si="8"/>
        <v>9.26</v>
      </c>
      <c r="AC19" s="121">
        <f t="shared" si="8"/>
        <v>0</v>
      </c>
      <c r="AD19" s="121">
        <f t="shared" si="8"/>
        <v>0</v>
      </c>
      <c r="AE19" s="121">
        <f t="shared" si="8"/>
        <v>0</v>
      </c>
      <c r="AF19" s="121">
        <f t="shared" si="8"/>
        <v>0</v>
      </c>
      <c r="AG19" s="121">
        <f t="shared" si="8"/>
        <v>0</v>
      </c>
      <c r="AH19" s="122">
        <f t="shared" si="8"/>
        <v>0</v>
      </c>
      <c r="AI19" s="145">
        <f t="shared" si="9"/>
        <v>0</v>
      </c>
      <c r="AJ19" s="121">
        <f t="shared" si="9"/>
        <v>0</v>
      </c>
      <c r="AK19" s="121">
        <f t="shared" si="9"/>
        <v>0</v>
      </c>
      <c r="AL19" s="121">
        <f t="shared" si="9"/>
        <v>0</v>
      </c>
      <c r="AM19" s="121">
        <f t="shared" si="9"/>
        <v>0</v>
      </c>
      <c r="AN19" s="121">
        <f t="shared" si="9"/>
        <v>0</v>
      </c>
      <c r="AO19" s="121">
        <f t="shared" si="9"/>
        <v>0</v>
      </c>
      <c r="AP19" s="121">
        <f t="shared" si="9"/>
        <v>0</v>
      </c>
      <c r="AQ19" s="121">
        <f t="shared" si="9"/>
        <v>0</v>
      </c>
      <c r="AR19" s="122">
        <f t="shared" si="9"/>
        <v>0</v>
      </c>
      <c r="AS19" s="145">
        <f t="shared" si="10"/>
        <v>0</v>
      </c>
      <c r="AT19" s="121">
        <f t="shared" si="10"/>
        <v>0</v>
      </c>
      <c r="AU19" s="121">
        <f t="shared" si="10"/>
        <v>0</v>
      </c>
      <c r="AV19" s="121">
        <f t="shared" si="10"/>
        <v>0</v>
      </c>
      <c r="AW19" s="121">
        <f t="shared" si="10"/>
        <v>0</v>
      </c>
      <c r="AX19" s="121">
        <f t="shared" si="10"/>
        <v>0</v>
      </c>
      <c r="AY19" s="121">
        <f t="shared" si="10"/>
        <v>0</v>
      </c>
      <c r="AZ19" s="121">
        <f t="shared" si="10"/>
        <v>0</v>
      </c>
      <c r="BA19" s="121">
        <f t="shared" si="10"/>
        <v>0</v>
      </c>
      <c r="BB19" s="122">
        <f t="shared" si="10"/>
        <v>0</v>
      </c>
      <c r="BC19" s="145">
        <f t="shared" ref="BC19:BC33" si="36">+IF(N19="SP",L19,0)</f>
        <v>0</v>
      </c>
      <c r="BD19" s="192">
        <f t="shared" si="20"/>
        <v>0</v>
      </c>
      <c r="BE19" s="192">
        <f t="shared" si="21"/>
        <v>0</v>
      </c>
      <c r="BF19" s="192">
        <f t="shared" si="22"/>
        <v>7.4080000000000004</v>
      </c>
      <c r="BG19" s="192">
        <f t="shared" si="23"/>
        <v>0</v>
      </c>
      <c r="BH19" s="122"/>
      <c r="BI19" s="123"/>
      <c r="BK19" s="125">
        <f t="shared" si="11"/>
        <v>9.26</v>
      </c>
      <c r="BL19" s="125">
        <f t="shared" si="24"/>
        <v>0</v>
      </c>
    </row>
    <row r="20" spans="1:64" s="81" customFormat="1" ht="16.5" customHeight="1">
      <c r="A20" s="124" t="str">
        <f t="shared" si="12"/>
        <v>OK</v>
      </c>
      <c r="C20" s="748"/>
      <c r="D20" s="113"/>
      <c r="E20" s="114"/>
      <c r="F20" s="114">
        <f t="shared" si="25"/>
        <v>150</v>
      </c>
      <c r="G20" s="263" t="str">
        <f t="shared" si="25"/>
        <v>HD</v>
      </c>
      <c r="H20" s="115" t="str">
        <f t="shared" si="25"/>
        <v>K-9</v>
      </c>
      <c r="I20" s="117">
        <f t="shared" si="13"/>
        <v>89.259999999999991</v>
      </c>
      <c r="J20" s="116">
        <v>276.58</v>
      </c>
      <c r="K20" s="117">
        <f t="shared" si="3"/>
        <v>187.32</v>
      </c>
      <c r="L20" s="118">
        <f t="shared" si="14"/>
        <v>187.55</v>
      </c>
      <c r="M20" s="116">
        <v>4.91</v>
      </c>
      <c r="N20" s="113" t="s">
        <v>218</v>
      </c>
      <c r="O20" s="115" t="s">
        <v>3</v>
      </c>
      <c r="P20" s="238" t="str">
        <f t="shared" si="4"/>
        <v>E</v>
      </c>
      <c r="Q20" s="238"/>
      <c r="R20" s="117">
        <f t="shared" si="15"/>
        <v>402.88</v>
      </c>
      <c r="S20" s="116">
        <v>412.67</v>
      </c>
      <c r="T20" s="117">
        <f t="shared" si="16"/>
        <v>401.326908</v>
      </c>
      <c r="U20" s="264">
        <f t="shared" si="17"/>
        <v>410.52431999999999</v>
      </c>
      <c r="V20" s="117">
        <f t="shared" si="26"/>
        <v>1.5530919999999924</v>
      </c>
      <c r="W20" s="118">
        <f t="shared" si="27"/>
        <v>2.1456800000000271</v>
      </c>
      <c r="X20" s="189">
        <f t="shared" si="19"/>
        <v>1.85</v>
      </c>
      <c r="Y20" s="145">
        <f t="shared" si="8"/>
        <v>0</v>
      </c>
      <c r="Z20" s="121">
        <f t="shared" si="8"/>
        <v>0</v>
      </c>
      <c r="AA20" s="121">
        <f t="shared" si="8"/>
        <v>0</v>
      </c>
      <c r="AB20" s="121">
        <f t="shared" si="8"/>
        <v>0</v>
      </c>
      <c r="AC20" s="121">
        <f t="shared" si="8"/>
        <v>187.55</v>
      </c>
      <c r="AD20" s="121">
        <f t="shared" si="8"/>
        <v>0</v>
      </c>
      <c r="AE20" s="121">
        <f t="shared" si="8"/>
        <v>0</v>
      </c>
      <c r="AF20" s="121">
        <f t="shared" si="8"/>
        <v>0</v>
      </c>
      <c r="AG20" s="121">
        <f t="shared" si="8"/>
        <v>0</v>
      </c>
      <c r="AH20" s="122">
        <f t="shared" si="8"/>
        <v>0</v>
      </c>
      <c r="AI20" s="145">
        <f t="shared" si="9"/>
        <v>0</v>
      </c>
      <c r="AJ20" s="121">
        <f t="shared" si="9"/>
        <v>0</v>
      </c>
      <c r="AK20" s="121">
        <f t="shared" si="9"/>
        <v>0</v>
      </c>
      <c r="AL20" s="121">
        <f t="shared" si="9"/>
        <v>0</v>
      </c>
      <c r="AM20" s="121">
        <f t="shared" si="9"/>
        <v>0</v>
      </c>
      <c r="AN20" s="121">
        <f t="shared" si="9"/>
        <v>0</v>
      </c>
      <c r="AO20" s="121">
        <f t="shared" si="9"/>
        <v>0</v>
      </c>
      <c r="AP20" s="121">
        <f t="shared" si="9"/>
        <v>0</v>
      </c>
      <c r="AQ20" s="121">
        <f t="shared" si="9"/>
        <v>0</v>
      </c>
      <c r="AR20" s="122">
        <f t="shared" si="9"/>
        <v>0</v>
      </c>
      <c r="AS20" s="145">
        <f t="shared" si="10"/>
        <v>0</v>
      </c>
      <c r="AT20" s="121">
        <f t="shared" si="10"/>
        <v>0</v>
      </c>
      <c r="AU20" s="121">
        <f t="shared" si="10"/>
        <v>0</v>
      </c>
      <c r="AV20" s="121">
        <f t="shared" si="10"/>
        <v>0</v>
      </c>
      <c r="AW20" s="121">
        <f t="shared" si="10"/>
        <v>0</v>
      </c>
      <c r="AX20" s="121">
        <f t="shared" si="10"/>
        <v>0</v>
      </c>
      <c r="AY20" s="121">
        <f t="shared" si="10"/>
        <v>0</v>
      </c>
      <c r="AZ20" s="121">
        <f t="shared" si="10"/>
        <v>0</v>
      </c>
      <c r="BA20" s="121">
        <f t="shared" si="10"/>
        <v>0</v>
      </c>
      <c r="BB20" s="122">
        <f t="shared" si="10"/>
        <v>0</v>
      </c>
      <c r="BC20" s="145">
        <f t="shared" si="36"/>
        <v>0</v>
      </c>
      <c r="BD20" s="192">
        <f t="shared" si="20"/>
        <v>187.55</v>
      </c>
      <c r="BE20" s="192">
        <f t="shared" si="21"/>
        <v>0</v>
      </c>
      <c r="BF20" s="192">
        <f t="shared" si="22"/>
        <v>150.04000000000002</v>
      </c>
      <c r="BG20" s="192">
        <f t="shared" si="23"/>
        <v>0</v>
      </c>
      <c r="BH20" s="122"/>
      <c r="BI20" s="123"/>
      <c r="BK20" s="125">
        <f t="shared" si="11"/>
        <v>187.55</v>
      </c>
      <c r="BL20" s="125">
        <f t="shared" si="24"/>
        <v>0</v>
      </c>
    </row>
    <row r="21" spans="1:64" s="81" customFormat="1" ht="16.5" customHeight="1">
      <c r="A21" s="124" t="str">
        <f t="shared" si="12"/>
        <v>OK</v>
      </c>
      <c r="C21" s="748"/>
      <c r="D21" s="113"/>
      <c r="E21" s="114"/>
      <c r="F21" s="114">
        <f t="shared" si="25"/>
        <v>150</v>
      </c>
      <c r="G21" s="263" t="str">
        <f t="shared" si="25"/>
        <v>HD</v>
      </c>
      <c r="H21" s="115" t="str">
        <f t="shared" si="25"/>
        <v>K-9</v>
      </c>
      <c r="I21" s="117">
        <f t="shared" si="13"/>
        <v>276.58</v>
      </c>
      <c r="J21" s="116">
        <v>298.89</v>
      </c>
      <c r="K21" s="117">
        <f t="shared" si="3"/>
        <v>22.310000000000002</v>
      </c>
      <c r="L21" s="118">
        <f t="shared" si="14"/>
        <v>22.35</v>
      </c>
      <c r="M21" s="116">
        <v>6.1</v>
      </c>
      <c r="N21" s="113" t="s">
        <v>218</v>
      </c>
      <c r="O21" s="115" t="s">
        <v>3</v>
      </c>
      <c r="P21" s="238" t="str">
        <f t="shared" si="4"/>
        <v>E</v>
      </c>
      <c r="Q21" s="238"/>
      <c r="R21" s="117">
        <f t="shared" si="15"/>
        <v>412.67</v>
      </c>
      <c r="S21" s="116">
        <v>413.47</v>
      </c>
      <c r="T21" s="117">
        <f t="shared" si="16"/>
        <v>410.52431999999999</v>
      </c>
      <c r="U21" s="264">
        <f t="shared" si="17"/>
        <v>411.88522999999998</v>
      </c>
      <c r="V21" s="117">
        <f t="shared" si="26"/>
        <v>2.1456800000000271</v>
      </c>
      <c r="W21" s="118">
        <f t="shared" si="27"/>
        <v>1.5847700000000486</v>
      </c>
      <c r="X21" s="189">
        <f t="shared" si="19"/>
        <v>1.87</v>
      </c>
      <c r="Y21" s="145">
        <f t="shared" si="8"/>
        <v>0</v>
      </c>
      <c r="Z21" s="121">
        <f t="shared" si="8"/>
        <v>0</v>
      </c>
      <c r="AA21" s="121">
        <f t="shared" si="8"/>
        <v>0</v>
      </c>
      <c r="AB21" s="121">
        <f t="shared" si="8"/>
        <v>0</v>
      </c>
      <c r="AC21" s="121">
        <f t="shared" si="8"/>
        <v>22.35</v>
      </c>
      <c r="AD21" s="121">
        <f t="shared" si="8"/>
        <v>0</v>
      </c>
      <c r="AE21" s="121">
        <f t="shared" si="8"/>
        <v>0</v>
      </c>
      <c r="AF21" s="121">
        <f t="shared" si="8"/>
        <v>0</v>
      </c>
      <c r="AG21" s="121">
        <f t="shared" si="8"/>
        <v>0</v>
      </c>
      <c r="AH21" s="122">
        <f t="shared" si="8"/>
        <v>0</v>
      </c>
      <c r="AI21" s="145">
        <f t="shared" si="9"/>
        <v>0</v>
      </c>
      <c r="AJ21" s="121">
        <f t="shared" si="9"/>
        <v>0</v>
      </c>
      <c r="AK21" s="121">
        <f t="shared" si="9"/>
        <v>0</v>
      </c>
      <c r="AL21" s="121">
        <f t="shared" si="9"/>
        <v>0</v>
      </c>
      <c r="AM21" s="121">
        <f t="shared" si="9"/>
        <v>0</v>
      </c>
      <c r="AN21" s="121">
        <f t="shared" si="9"/>
        <v>0</v>
      </c>
      <c r="AO21" s="121">
        <f t="shared" si="9"/>
        <v>0</v>
      </c>
      <c r="AP21" s="121">
        <f t="shared" si="9"/>
        <v>0</v>
      </c>
      <c r="AQ21" s="121">
        <f t="shared" si="9"/>
        <v>0</v>
      </c>
      <c r="AR21" s="122">
        <f t="shared" si="9"/>
        <v>0</v>
      </c>
      <c r="AS21" s="145">
        <f t="shared" si="10"/>
        <v>0</v>
      </c>
      <c r="AT21" s="121">
        <f t="shared" si="10"/>
        <v>0</v>
      </c>
      <c r="AU21" s="121">
        <f t="shared" si="10"/>
        <v>0</v>
      </c>
      <c r="AV21" s="121">
        <f t="shared" si="10"/>
        <v>0</v>
      </c>
      <c r="AW21" s="121">
        <f t="shared" si="10"/>
        <v>0</v>
      </c>
      <c r="AX21" s="121">
        <f t="shared" si="10"/>
        <v>0</v>
      </c>
      <c r="AY21" s="121">
        <f t="shared" si="10"/>
        <v>0</v>
      </c>
      <c r="AZ21" s="121">
        <f t="shared" si="10"/>
        <v>0</v>
      </c>
      <c r="BA21" s="121">
        <f t="shared" si="10"/>
        <v>0</v>
      </c>
      <c r="BB21" s="122">
        <f t="shared" si="10"/>
        <v>0</v>
      </c>
      <c r="BC21" s="145">
        <f t="shared" si="36"/>
        <v>0</v>
      </c>
      <c r="BD21" s="192">
        <f t="shared" si="20"/>
        <v>22.35</v>
      </c>
      <c r="BE21" s="192">
        <f t="shared" si="21"/>
        <v>0</v>
      </c>
      <c r="BF21" s="192">
        <f t="shared" si="22"/>
        <v>17.880000000000003</v>
      </c>
      <c r="BG21" s="192">
        <f t="shared" si="23"/>
        <v>0</v>
      </c>
      <c r="BH21" s="122"/>
      <c r="BI21" s="123"/>
      <c r="BK21" s="125">
        <f t="shared" si="11"/>
        <v>22.35</v>
      </c>
      <c r="BL21" s="125">
        <f t="shared" si="24"/>
        <v>0</v>
      </c>
    </row>
    <row r="22" spans="1:64" s="81" customFormat="1" ht="16.5" customHeight="1">
      <c r="A22" s="124" t="str">
        <f t="shared" si="12"/>
        <v>OK</v>
      </c>
      <c r="C22" s="748"/>
      <c r="D22" s="113"/>
      <c r="E22" s="114"/>
      <c r="F22" s="114">
        <f t="shared" si="25"/>
        <v>150</v>
      </c>
      <c r="G22" s="263" t="str">
        <f t="shared" si="25"/>
        <v>HD</v>
      </c>
      <c r="H22" s="115" t="str">
        <f t="shared" si="25"/>
        <v>K-9</v>
      </c>
      <c r="I22" s="117">
        <f t="shared" si="13"/>
        <v>298.89</v>
      </c>
      <c r="J22" s="116">
        <v>371.07</v>
      </c>
      <c r="K22" s="117">
        <v>72.17</v>
      </c>
      <c r="L22" s="118">
        <f>+ROUND(K22*SQRT((M22/100)^2+1),2)</f>
        <v>72.17</v>
      </c>
      <c r="M22" s="116">
        <v>1.1000000000000001</v>
      </c>
      <c r="N22" s="113" t="s">
        <v>218</v>
      </c>
      <c r="O22" s="115" t="s">
        <v>3</v>
      </c>
      <c r="P22" s="238">
        <f t="shared" si="4"/>
        <v>0</v>
      </c>
      <c r="Q22" s="238"/>
      <c r="R22" s="117">
        <f t="shared" si="15"/>
        <v>413.47</v>
      </c>
      <c r="S22" s="116">
        <v>414.52</v>
      </c>
      <c r="T22" s="117">
        <f t="shared" si="16"/>
        <v>411.88522999999998</v>
      </c>
      <c r="U22" s="264">
        <f t="shared" si="17"/>
        <v>412.67910000000001</v>
      </c>
      <c r="V22" s="117">
        <f t="shared" si="26"/>
        <v>1.5847700000000486</v>
      </c>
      <c r="W22" s="118">
        <f t="shared" si="27"/>
        <v>1.8408999999999764</v>
      </c>
      <c r="X22" s="189">
        <f t="shared" si="19"/>
        <v>1.71</v>
      </c>
      <c r="Y22" s="145">
        <f t="shared" si="8"/>
        <v>0</v>
      </c>
      <c r="Z22" s="121">
        <f t="shared" si="8"/>
        <v>0</v>
      </c>
      <c r="AA22" s="121">
        <f t="shared" si="8"/>
        <v>0</v>
      </c>
      <c r="AB22" s="121">
        <f t="shared" si="8"/>
        <v>72.17</v>
      </c>
      <c r="AC22" s="121">
        <f t="shared" si="8"/>
        <v>0</v>
      </c>
      <c r="AD22" s="121">
        <f t="shared" si="8"/>
        <v>0</v>
      </c>
      <c r="AE22" s="121">
        <f t="shared" si="8"/>
        <v>0</v>
      </c>
      <c r="AF22" s="121">
        <f t="shared" si="8"/>
        <v>0</v>
      </c>
      <c r="AG22" s="121">
        <f t="shared" si="8"/>
        <v>0</v>
      </c>
      <c r="AH22" s="122">
        <f t="shared" si="8"/>
        <v>0</v>
      </c>
      <c r="AI22" s="145">
        <f t="shared" si="9"/>
        <v>0</v>
      </c>
      <c r="AJ22" s="121">
        <f t="shared" si="9"/>
        <v>0</v>
      </c>
      <c r="AK22" s="121">
        <f t="shared" si="9"/>
        <v>0</v>
      </c>
      <c r="AL22" s="121">
        <f t="shared" si="9"/>
        <v>0</v>
      </c>
      <c r="AM22" s="121">
        <f t="shared" si="9"/>
        <v>0</v>
      </c>
      <c r="AN22" s="121">
        <f t="shared" si="9"/>
        <v>0</v>
      </c>
      <c r="AO22" s="121">
        <f t="shared" si="9"/>
        <v>0</v>
      </c>
      <c r="AP22" s="121">
        <f t="shared" si="9"/>
        <v>0</v>
      </c>
      <c r="AQ22" s="121">
        <f t="shared" si="9"/>
        <v>0</v>
      </c>
      <c r="AR22" s="122">
        <f t="shared" si="9"/>
        <v>0</v>
      </c>
      <c r="AS22" s="145">
        <f t="shared" si="10"/>
        <v>0</v>
      </c>
      <c r="AT22" s="121">
        <f t="shared" si="10"/>
        <v>0</v>
      </c>
      <c r="AU22" s="121">
        <f t="shared" si="10"/>
        <v>0</v>
      </c>
      <c r="AV22" s="121">
        <f t="shared" si="10"/>
        <v>0</v>
      </c>
      <c r="AW22" s="121">
        <f t="shared" si="10"/>
        <v>0</v>
      </c>
      <c r="AX22" s="121">
        <f t="shared" si="10"/>
        <v>0</v>
      </c>
      <c r="AY22" s="121">
        <f t="shared" si="10"/>
        <v>0</v>
      </c>
      <c r="AZ22" s="121">
        <f t="shared" si="10"/>
        <v>0</v>
      </c>
      <c r="BA22" s="121">
        <f t="shared" si="10"/>
        <v>0</v>
      </c>
      <c r="BB22" s="122">
        <f t="shared" si="10"/>
        <v>0</v>
      </c>
      <c r="BC22" s="145">
        <f t="shared" si="36"/>
        <v>0</v>
      </c>
      <c r="BD22" s="192">
        <f t="shared" si="20"/>
        <v>0</v>
      </c>
      <c r="BE22" s="192">
        <f t="shared" si="21"/>
        <v>0</v>
      </c>
      <c r="BF22" s="192">
        <f t="shared" si="22"/>
        <v>57.736000000000004</v>
      </c>
      <c r="BG22" s="192">
        <f t="shared" si="23"/>
        <v>0</v>
      </c>
      <c r="BH22" s="122"/>
      <c r="BI22" s="123"/>
      <c r="BK22" s="125">
        <f t="shared" si="11"/>
        <v>72.17</v>
      </c>
      <c r="BL22" s="125">
        <f t="shared" si="24"/>
        <v>0</v>
      </c>
    </row>
    <row r="23" spans="1:64" s="81" customFormat="1" ht="16.5" customHeight="1">
      <c r="A23" s="124" t="str">
        <f t="shared" si="12"/>
        <v>OK</v>
      </c>
      <c r="C23" s="748"/>
      <c r="D23" s="113"/>
      <c r="E23" s="114"/>
      <c r="F23" s="114">
        <f t="shared" si="25"/>
        <v>150</v>
      </c>
      <c r="G23" s="263" t="str">
        <f t="shared" si="25"/>
        <v>HD</v>
      </c>
      <c r="H23" s="115" t="str">
        <f t="shared" si="25"/>
        <v>K-9</v>
      </c>
      <c r="I23" s="117">
        <f t="shared" si="13"/>
        <v>371.07</v>
      </c>
      <c r="J23" s="116">
        <v>551.77</v>
      </c>
      <c r="K23" s="117">
        <f t="shared" si="3"/>
        <v>180.7</v>
      </c>
      <c r="L23" s="118">
        <f t="shared" si="14"/>
        <v>181.01</v>
      </c>
      <c r="M23" s="116">
        <v>5.87</v>
      </c>
      <c r="N23" s="113" t="s">
        <v>218</v>
      </c>
      <c r="O23" s="115" t="s">
        <v>3</v>
      </c>
      <c r="P23" s="238">
        <f t="shared" si="4"/>
        <v>0</v>
      </c>
      <c r="Q23" s="238"/>
      <c r="R23" s="117">
        <f t="shared" si="15"/>
        <v>414.52</v>
      </c>
      <c r="S23" s="116">
        <v>424.86</v>
      </c>
      <c r="T23" s="117">
        <f t="shared" si="16"/>
        <v>412.67910000000001</v>
      </c>
      <c r="U23" s="264">
        <v>423.26</v>
      </c>
      <c r="V23" s="117">
        <f t="shared" si="26"/>
        <v>1.8408999999999764</v>
      </c>
      <c r="W23" s="118">
        <f t="shared" si="27"/>
        <v>1.6000000000000227</v>
      </c>
      <c r="X23" s="189">
        <f t="shared" si="19"/>
        <v>1.72</v>
      </c>
      <c r="Y23" s="145">
        <f t="shared" si="8"/>
        <v>0</v>
      </c>
      <c r="Z23" s="121">
        <f t="shared" si="8"/>
        <v>0</v>
      </c>
      <c r="AA23" s="121">
        <f t="shared" si="8"/>
        <v>0</v>
      </c>
      <c r="AB23" s="121">
        <f t="shared" si="8"/>
        <v>181.01</v>
      </c>
      <c r="AC23" s="121">
        <f t="shared" si="8"/>
        <v>0</v>
      </c>
      <c r="AD23" s="121">
        <f t="shared" si="8"/>
        <v>0</v>
      </c>
      <c r="AE23" s="121">
        <f t="shared" si="8"/>
        <v>0</v>
      </c>
      <c r="AF23" s="121">
        <f t="shared" si="8"/>
        <v>0</v>
      </c>
      <c r="AG23" s="121">
        <f t="shared" si="8"/>
        <v>0</v>
      </c>
      <c r="AH23" s="122">
        <f t="shared" si="8"/>
        <v>0</v>
      </c>
      <c r="AI23" s="145">
        <f t="shared" si="9"/>
        <v>0</v>
      </c>
      <c r="AJ23" s="121">
        <f t="shared" si="9"/>
        <v>0</v>
      </c>
      <c r="AK23" s="121">
        <f t="shared" si="9"/>
        <v>0</v>
      </c>
      <c r="AL23" s="121">
        <f t="shared" si="9"/>
        <v>0</v>
      </c>
      <c r="AM23" s="121">
        <f t="shared" si="9"/>
        <v>0</v>
      </c>
      <c r="AN23" s="121">
        <f t="shared" si="9"/>
        <v>0</v>
      </c>
      <c r="AO23" s="121">
        <f t="shared" si="9"/>
        <v>0</v>
      </c>
      <c r="AP23" s="121">
        <f t="shared" si="9"/>
        <v>0</v>
      </c>
      <c r="AQ23" s="121">
        <f t="shared" si="9"/>
        <v>0</v>
      </c>
      <c r="AR23" s="122">
        <f t="shared" si="9"/>
        <v>0</v>
      </c>
      <c r="AS23" s="145">
        <f t="shared" si="10"/>
        <v>0</v>
      </c>
      <c r="AT23" s="121">
        <f t="shared" si="10"/>
        <v>0</v>
      </c>
      <c r="AU23" s="121">
        <f t="shared" si="10"/>
        <v>0</v>
      </c>
      <c r="AV23" s="121">
        <f t="shared" si="10"/>
        <v>0</v>
      </c>
      <c r="AW23" s="121">
        <f t="shared" si="10"/>
        <v>0</v>
      </c>
      <c r="AX23" s="121">
        <f t="shared" si="10"/>
        <v>0</v>
      </c>
      <c r="AY23" s="121">
        <f t="shared" si="10"/>
        <v>0</v>
      </c>
      <c r="AZ23" s="121">
        <f t="shared" si="10"/>
        <v>0</v>
      </c>
      <c r="BA23" s="121">
        <f t="shared" si="10"/>
        <v>0</v>
      </c>
      <c r="BB23" s="122">
        <f t="shared" si="10"/>
        <v>0</v>
      </c>
      <c r="BC23" s="145">
        <f t="shared" si="36"/>
        <v>0</v>
      </c>
      <c r="BD23" s="192">
        <f t="shared" si="20"/>
        <v>0</v>
      </c>
      <c r="BE23" s="192">
        <f t="shared" si="21"/>
        <v>0</v>
      </c>
      <c r="BF23" s="192">
        <f t="shared" si="22"/>
        <v>144.80799999999999</v>
      </c>
      <c r="BG23" s="192">
        <f t="shared" si="23"/>
        <v>0</v>
      </c>
      <c r="BH23" s="122"/>
      <c r="BI23" s="123"/>
      <c r="BK23" s="125">
        <f t="shared" si="11"/>
        <v>181.01</v>
      </c>
      <c r="BL23" s="125">
        <f t="shared" si="24"/>
        <v>0</v>
      </c>
    </row>
    <row r="24" spans="1:64" s="81" customFormat="1" ht="16.5" customHeight="1">
      <c r="A24" s="124" t="str">
        <f t="shared" si="12"/>
        <v>OK</v>
      </c>
      <c r="C24" s="748"/>
      <c r="D24" s="113"/>
      <c r="E24" s="114"/>
      <c r="F24" s="114">
        <f t="shared" si="25"/>
        <v>150</v>
      </c>
      <c r="G24" s="263" t="str">
        <f t="shared" si="25"/>
        <v>HD</v>
      </c>
      <c r="H24" s="115" t="str">
        <f t="shared" si="25"/>
        <v>K-9</v>
      </c>
      <c r="I24" s="117">
        <f t="shared" si="13"/>
        <v>551.77</v>
      </c>
      <c r="J24" s="116">
        <v>665.66</v>
      </c>
      <c r="K24" s="117">
        <f t="shared" si="3"/>
        <v>113.88999999999999</v>
      </c>
      <c r="L24" s="118">
        <f t="shared" si="14"/>
        <v>114.04</v>
      </c>
      <c r="M24" s="116">
        <v>5.05</v>
      </c>
      <c r="N24" s="113" t="s">
        <v>218</v>
      </c>
      <c r="O24" s="115" t="s">
        <v>3</v>
      </c>
      <c r="P24" s="238">
        <f t="shared" si="4"/>
        <v>0</v>
      </c>
      <c r="Q24" s="238"/>
      <c r="R24" s="117">
        <f t="shared" si="15"/>
        <v>424.86</v>
      </c>
      <c r="S24" s="116">
        <v>430.57</v>
      </c>
      <c r="T24" s="117">
        <f t="shared" si="16"/>
        <v>423.26</v>
      </c>
      <c r="U24" s="264">
        <f t="shared" ref="U24:U35" si="37">+T24+K24*M24/100</f>
        <v>429.01144499999998</v>
      </c>
      <c r="V24" s="117">
        <f t="shared" si="26"/>
        <v>1.6000000000000227</v>
      </c>
      <c r="W24" s="118">
        <f t="shared" si="27"/>
        <v>1.5585550000000126</v>
      </c>
      <c r="X24" s="189">
        <f t="shared" si="19"/>
        <v>1.58</v>
      </c>
      <c r="Y24" s="145">
        <f t="shared" ref="Y24:AH35" si="38">+IF($O24="N",IF($X24&gt;=Y$11,IF($X24&lt;=Y$12,$L24,0),0),0)</f>
        <v>0</v>
      </c>
      <c r="Z24" s="121">
        <f t="shared" si="38"/>
        <v>0</v>
      </c>
      <c r="AA24" s="121">
        <f t="shared" si="38"/>
        <v>0</v>
      </c>
      <c r="AB24" s="121">
        <f t="shared" si="38"/>
        <v>114.04</v>
      </c>
      <c r="AC24" s="121">
        <f t="shared" si="38"/>
        <v>0</v>
      </c>
      <c r="AD24" s="121">
        <f t="shared" si="38"/>
        <v>0</v>
      </c>
      <c r="AE24" s="121">
        <f t="shared" si="38"/>
        <v>0</v>
      </c>
      <c r="AF24" s="121">
        <f t="shared" si="38"/>
        <v>0</v>
      </c>
      <c r="AG24" s="121">
        <f t="shared" si="38"/>
        <v>0</v>
      </c>
      <c r="AH24" s="122">
        <f t="shared" si="38"/>
        <v>0</v>
      </c>
      <c r="AI24" s="145">
        <f t="shared" ref="AI24:AR35" si="39">+IF($O24="SR",IF($X24&gt;=AI$11,IF($X24&lt;=AI$12,$L24,0),0),0)</f>
        <v>0</v>
      </c>
      <c r="AJ24" s="121">
        <f t="shared" si="39"/>
        <v>0</v>
      </c>
      <c r="AK24" s="121">
        <f t="shared" si="39"/>
        <v>0</v>
      </c>
      <c r="AL24" s="121">
        <f t="shared" si="39"/>
        <v>0</v>
      </c>
      <c r="AM24" s="121">
        <f t="shared" si="39"/>
        <v>0</v>
      </c>
      <c r="AN24" s="121">
        <f t="shared" si="39"/>
        <v>0</v>
      </c>
      <c r="AO24" s="121">
        <f t="shared" si="39"/>
        <v>0</v>
      </c>
      <c r="AP24" s="121">
        <f t="shared" si="39"/>
        <v>0</v>
      </c>
      <c r="AQ24" s="121">
        <f t="shared" si="39"/>
        <v>0</v>
      </c>
      <c r="AR24" s="122">
        <f t="shared" si="39"/>
        <v>0</v>
      </c>
      <c r="AS24" s="145">
        <f t="shared" ref="AS24:BB35" si="40">+IF($O24="R",IF($X24&gt;=AS$11,IF($X24&lt;=AS$12,$L24,0),0),0)</f>
        <v>0</v>
      </c>
      <c r="AT24" s="121">
        <f t="shared" si="40"/>
        <v>0</v>
      </c>
      <c r="AU24" s="121">
        <f t="shared" si="40"/>
        <v>0</v>
      </c>
      <c r="AV24" s="121">
        <f t="shared" si="40"/>
        <v>0</v>
      </c>
      <c r="AW24" s="121">
        <f t="shared" si="40"/>
        <v>0</v>
      </c>
      <c r="AX24" s="121">
        <f t="shared" si="40"/>
        <v>0</v>
      </c>
      <c r="AY24" s="121">
        <f t="shared" si="40"/>
        <v>0</v>
      </c>
      <c r="AZ24" s="121">
        <f t="shared" si="40"/>
        <v>0</v>
      </c>
      <c r="BA24" s="121">
        <f t="shared" si="40"/>
        <v>0</v>
      </c>
      <c r="BB24" s="122">
        <f t="shared" si="40"/>
        <v>0</v>
      </c>
      <c r="BC24" s="145">
        <f t="shared" si="36"/>
        <v>0</v>
      </c>
      <c r="BD24" s="192">
        <f t="shared" si="20"/>
        <v>0</v>
      </c>
      <c r="BE24" s="192">
        <f t="shared" si="21"/>
        <v>0</v>
      </c>
      <c r="BF24" s="192">
        <f t="shared" si="22"/>
        <v>91.232000000000014</v>
      </c>
      <c r="BG24" s="192">
        <f t="shared" si="23"/>
        <v>0</v>
      </c>
      <c r="BH24" s="122"/>
      <c r="BI24" s="123"/>
      <c r="BK24" s="125">
        <f t="shared" si="11"/>
        <v>114.04</v>
      </c>
      <c r="BL24" s="125">
        <f t="shared" si="24"/>
        <v>0</v>
      </c>
    </row>
    <row r="25" spans="1:64" s="81" customFormat="1" ht="16.5" customHeight="1">
      <c r="A25" s="124" t="str">
        <f t="shared" si="12"/>
        <v>OK</v>
      </c>
      <c r="C25" s="748"/>
      <c r="D25" s="113"/>
      <c r="E25" s="114"/>
      <c r="F25" s="114">
        <f t="shared" si="25"/>
        <v>150</v>
      </c>
      <c r="G25" s="263" t="str">
        <f t="shared" si="25"/>
        <v>HD</v>
      </c>
      <c r="H25" s="115" t="str">
        <f t="shared" si="25"/>
        <v>K-9</v>
      </c>
      <c r="I25" s="117">
        <f t="shared" si="13"/>
        <v>665.66</v>
      </c>
      <c r="J25" s="116">
        <v>714.25</v>
      </c>
      <c r="K25" s="117">
        <f t="shared" si="3"/>
        <v>48.590000000000032</v>
      </c>
      <c r="L25" s="118">
        <f t="shared" si="14"/>
        <v>48.67</v>
      </c>
      <c r="M25" s="116">
        <v>5.64</v>
      </c>
      <c r="N25" s="113" t="s">
        <v>218</v>
      </c>
      <c r="O25" s="115" t="s">
        <v>3</v>
      </c>
      <c r="P25" s="238">
        <f t="shared" si="4"/>
        <v>0</v>
      </c>
      <c r="Q25" s="238"/>
      <c r="R25" s="117">
        <f t="shared" si="15"/>
        <v>430.57</v>
      </c>
      <c r="S25" s="116">
        <v>432.99</v>
      </c>
      <c r="T25" s="117">
        <f t="shared" si="16"/>
        <v>429.01144499999998</v>
      </c>
      <c r="U25" s="264">
        <f t="shared" si="37"/>
        <v>431.75192099999998</v>
      </c>
      <c r="V25" s="117">
        <f t="shared" si="26"/>
        <v>1.5585550000000126</v>
      </c>
      <c r="W25" s="118">
        <f t="shared" si="27"/>
        <v>1.2380790000000275</v>
      </c>
      <c r="X25" s="189">
        <f t="shared" si="19"/>
        <v>1.4</v>
      </c>
      <c r="Y25" s="145">
        <f t="shared" si="38"/>
        <v>0</v>
      </c>
      <c r="Z25" s="121">
        <f t="shared" si="38"/>
        <v>0</v>
      </c>
      <c r="AA25" s="121">
        <f t="shared" si="38"/>
        <v>48.67</v>
      </c>
      <c r="AB25" s="121">
        <f t="shared" si="38"/>
        <v>0</v>
      </c>
      <c r="AC25" s="121">
        <f t="shared" si="38"/>
        <v>0</v>
      </c>
      <c r="AD25" s="121">
        <f t="shared" si="38"/>
        <v>0</v>
      </c>
      <c r="AE25" s="121">
        <f t="shared" si="38"/>
        <v>0</v>
      </c>
      <c r="AF25" s="121">
        <f t="shared" si="38"/>
        <v>0</v>
      </c>
      <c r="AG25" s="121">
        <f t="shared" si="38"/>
        <v>0</v>
      </c>
      <c r="AH25" s="122">
        <f t="shared" si="38"/>
        <v>0</v>
      </c>
      <c r="AI25" s="145">
        <f t="shared" si="39"/>
        <v>0</v>
      </c>
      <c r="AJ25" s="121">
        <f t="shared" si="39"/>
        <v>0</v>
      </c>
      <c r="AK25" s="121">
        <f t="shared" si="39"/>
        <v>0</v>
      </c>
      <c r="AL25" s="121">
        <f t="shared" si="39"/>
        <v>0</v>
      </c>
      <c r="AM25" s="121">
        <f t="shared" si="39"/>
        <v>0</v>
      </c>
      <c r="AN25" s="121">
        <f t="shared" si="39"/>
        <v>0</v>
      </c>
      <c r="AO25" s="121">
        <f t="shared" si="39"/>
        <v>0</v>
      </c>
      <c r="AP25" s="121">
        <f t="shared" si="39"/>
        <v>0</v>
      </c>
      <c r="AQ25" s="121">
        <f t="shared" si="39"/>
        <v>0</v>
      </c>
      <c r="AR25" s="122">
        <f t="shared" si="39"/>
        <v>0</v>
      </c>
      <c r="AS25" s="145">
        <f t="shared" si="40"/>
        <v>0</v>
      </c>
      <c r="AT25" s="121">
        <f t="shared" si="40"/>
        <v>0</v>
      </c>
      <c r="AU25" s="121">
        <f t="shared" si="40"/>
        <v>0</v>
      </c>
      <c r="AV25" s="121">
        <f t="shared" si="40"/>
        <v>0</v>
      </c>
      <c r="AW25" s="121">
        <f t="shared" si="40"/>
        <v>0</v>
      </c>
      <c r="AX25" s="121">
        <f t="shared" si="40"/>
        <v>0</v>
      </c>
      <c r="AY25" s="121">
        <f t="shared" si="40"/>
        <v>0</v>
      </c>
      <c r="AZ25" s="121">
        <f t="shared" si="40"/>
        <v>0</v>
      </c>
      <c r="BA25" s="121">
        <f t="shared" si="40"/>
        <v>0</v>
      </c>
      <c r="BB25" s="122">
        <f t="shared" si="40"/>
        <v>0</v>
      </c>
      <c r="BC25" s="145">
        <f t="shared" si="36"/>
        <v>0</v>
      </c>
      <c r="BD25" s="192">
        <f t="shared" si="20"/>
        <v>0</v>
      </c>
      <c r="BE25" s="192">
        <f t="shared" si="21"/>
        <v>0</v>
      </c>
      <c r="BF25" s="192">
        <f t="shared" si="22"/>
        <v>38.936000000000007</v>
      </c>
      <c r="BG25" s="192">
        <f t="shared" si="23"/>
        <v>0</v>
      </c>
      <c r="BH25" s="122"/>
      <c r="BI25" s="123"/>
      <c r="BK25" s="125">
        <f t="shared" si="11"/>
        <v>48.67</v>
      </c>
      <c r="BL25" s="125">
        <f t="shared" si="24"/>
        <v>0</v>
      </c>
    </row>
    <row r="26" spans="1:64" s="81" customFormat="1" ht="16.5" customHeight="1">
      <c r="A26" s="124" t="str">
        <f t="shared" si="12"/>
        <v>OK</v>
      </c>
      <c r="C26" s="748"/>
      <c r="D26" s="113"/>
      <c r="E26" s="114"/>
      <c r="F26" s="114">
        <f t="shared" si="25"/>
        <v>150</v>
      </c>
      <c r="G26" s="263" t="str">
        <f t="shared" si="25"/>
        <v>HD</v>
      </c>
      <c r="H26" s="115" t="str">
        <f t="shared" si="25"/>
        <v>K-9</v>
      </c>
      <c r="I26" s="117">
        <f t="shared" si="13"/>
        <v>714.25</v>
      </c>
      <c r="J26" s="116">
        <v>1026.6000000000001</v>
      </c>
      <c r="K26" s="117">
        <f t="shared" si="3"/>
        <v>312.35000000000014</v>
      </c>
      <c r="L26" s="118">
        <f t="shared" si="14"/>
        <v>312.86</v>
      </c>
      <c r="M26" s="116">
        <v>5.71</v>
      </c>
      <c r="N26" s="113" t="s">
        <v>218</v>
      </c>
      <c r="O26" s="115" t="s">
        <v>3</v>
      </c>
      <c r="P26" s="238" t="str">
        <f t="shared" si="4"/>
        <v>E</v>
      </c>
      <c r="Q26" s="238"/>
      <c r="R26" s="117">
        <f t="shared" si="15"/>
        <v>432.99</v>
      </c>
      <c r="S26" s="116">
        <v>451.91</v>
      </c>
      <c r="T26" s="117">
        <f t="shared" si="16"/>
        <v>431.75192099999998</v>
      </c>
      <c r="U26" s="264">
        <v>449.58</v>
      </c>
      <c r="V26" s="117">
        <f t="shared" si="26"/>
        <v>1.2380790000000275</v>
      </c>
      <c r="W26" s="118">
        <f t="shared" si="27"/>
        <v>2.3300000000000409</v>
      </c>
      <c r="X26" s="189">
        <f t="shared" si="19"/>
        <v>1.78</v>
      </c>
      <c r="Y26" s="145">
        <f t="shared" si="38"/>
        <v>0</v>
      </c>
      <c r="Z26" s="121">
        <f t="shared" si="38"/>
        <v>0</v>
      </c>
      <c r="AA26" s="121">
        <f t="shared" si="38"/>
        <v>0</v>
      </c>
      <c r="AB26" s="121">
        <f t="shared" si="38"/>
        <v>0</v>
      </c>
      <c r="AC26" s="121">
        <f t="shared" si="38"/>
        <v>312.86</v>
      </c>
      <c r="AD26" s="121">
        <f t="shared" si="38"/>
        <v>0</v>
      </c>
      <c r="AE26" s="121">
        <f t="shared" si="38"/>
        <v>0</v>
      </c>
      <c r="AF26" s="121">
        <f t="shared" si="38"/>
        <v>0</v>
      </c>
      <c r="AG26" s="121">
        <f t="shared" si="38"/>
        <v>0</v>
      </c>
      <c r="AH26" s="122">
        <f t="shared" si="38"/>
        <v>0</v>
      </c>
      <c r="AI26" s="145">
        <f t="shared" si="39"/>
        <v>0</v>
      </c>
      <c r="AJ26" s="121">
        <f t="shared" si="39"/>
        <v>0</v>
      </c>
      <c r="AK26" s="121">
        <f t="shared" si="39"/>
        <v>0</v>
      </c>
      <c r="AL26" s="121">
        <f t="shared" si="39"/>
        <v>0</v>
      </c>
      <c r="AM26" s="121">
        <f t="shared" si="39"/>
        <v>0</v>
      </c>
      <c r="AN26" s="121">
        <f t="shared" si="39"/>
        <v>0</v>
      </c>
      <c r="AO26" s="121">
        <f t="shared" si="39"/>
        <v>0</v>
      </c>
      <c r="AP26" s="121">
        <f t="shared" si="39"/>
        <v>0</v>
      </c>
      <c r="AQ26" s="121">
        <f t="shared" si="39"/>
        <v>0</v>
      </c>
      <c r="AR26" s="122">
        <f t="shared" si="39"/>
        <v>0</v>
      </c>
      <c r="AS26" s="145">
        <f t="shared" si="40"/>
        <v>0</v>
      </c>
      <c r="AT26" s="121">
        <f t="shared" si="40"/>
        <v>0</v>
      </c>
      <c r="AU26" s="121">
        <f t="shared" si="40"/>
        <v>0</v>
      </c>
      <c r="AV26" s="121">
        <f t="shared" si="40"/>
        <v>0</v>
      </c>
      <c r="AW26" s="121">
        <f t="shared" si="40"/>
        <v>0</v>
      </c>
      <c r="AX26" s="121">
        <f t="shared" si="40"/>
        <v>0</v>
      </c>
      <c r="AY26" s="121">
        <f t="shared" si="40"/>
        <v>0</v>
      </c>
      <c r="AZ26" s="121">
        <f t="shared" si="40"/>
        <v>0</v>
      </c>
      <c r="BA26" s="121">
        <f t="shared" si="40"/>
        <v>0</v>
      </c>
      <c r="BB26" s="122">
        <f t="shared" si="40"/>
        <v>0</v>
      </c>
      <c r="BC26" s="145">
        <f t="shared" si="36"/>
        <v>0</v>
      </c>
      <c r="BD26" s="192">
        <f t="shared" si="20"/>
        <v>312.86</v>
      </c>
      <c r="BE26" s="192">
        <f t="shared" si="21"/>
        <v>0</v>
      </c>
      <c r="BF26" s="192">
        <f t="shared" si="22"/>
        <v>250.28800000000001</v>
      </c>
      <c r="BG26" s="192">
        <f t="shared" si="23"/>
        <v>0</v>
      </c>
      <c r="BH26" s="122"/>
      <c r="BI26" s="123"/>
      <c r="BK26" s="125">
        <f t="shared" si="11"/>
        <v>312.86</v>
      </c>
      <c r="BL26" s="125">
        <f t="shared" si="24"/>
        <v>0</v>
      </c>
    </row>
    <row r="27" spans="1:64" s="81" customFormat="1" ht="16.5" customHeight="1">
      <c r="A27" s="124" t="str">
        <f t="shared" si="12"/>
        <v>OK</v>
      </c>
      <c r="C27" s="748"/>
      <c r="D27" s="113"/>
      <c r="E27" s="114"/>
      <c r="F27" s="114">
        <f>+F26</f>
        <v>150</v>
      </c>
      <c r="G27" s="263" t="str">
        <f>+G26</f>
        <v>HD</v>
      </c>
      <c r="H27" s="115" t="str">
        <f t="shared" si="25"/>
        <v>K-9</v>
      </c>
      <c r="I27" s="117">
        <f t="shared" si="13"/>
        <v>1026.6000000000001</v>
      </c>
      <c r="J27" s="116">
        <v>1072.1300000000001</v>
      </c>
      <c r="K27" s="117">
        <f t="shared" si="3"/>
        <v>45.529999999999973</v>
      </c>
      <c r="L27" s="118">
        <f t="shared" si="14"/>
        <v>45.58</v>
      </c>
      <c r="M27" s="116">
        <v>4.88</v>
      </c>
      <c r="N27" s="113" t="s">
        <v>218</v>
      </c>
      <c r="O27" s="115" t="s">
        <v>3</v>
      </c>
      <c r="P27" s="238" t="str">
        <f t="shared" si="4"/>
        <v>E</v>
      </c>
      <c r="Q27" s="238"/>
      <c r="R27" s="117">
        <f t="shared" si="15"/>
        <v>451.91</v>
      </c>
      <c r="S27" s="116">
        <v>453.68</v>
      </c>
      <c r="T27" s="117">
        <f t="shared" si="16"/>
        <v>449.58</v>
      </c>
      <c r="U27" s="264">
        <f t="shared" si="37"/>
        <v>451.80186399999997</v>
      </c>
      <c r="V27" s="117">
        <f t="shared" si="26"/>
        <v>2.3300000000000409</v>
      </c>
      <c r="W27" s="118">
        <f t="shared" si="27"/>
        <v>1.8781360000000404</v>
      </c>
      <c r="X27" s="189">
        <f t="shared" si="19"/>
        <v>2.1</v>
      </c>
      <c r="Y27" s="145">
        <f t="shared" si="38"/>
        <v>0</v>
      </c>
      <c r="Z27" s="121">
        <f t="shared" si="38"/>
        <v>0</v>
      </c>
      <c r="AA27" s="121">
        <f t="shared" si="38"/>
        <v>0</v>
      </c>
      <c r="AB27" s="121">
        <f t="shared" si="38"/>
        <v>0</v>
      </c>
      <c r="AC27" s="121">
        <f t="shared" si="38"/>
        <v>0</v>
      </c>
      <c r="AD27" s="121">
        <f t="shared" si="38"/>
        <v>45.58</v>
      </c>
      <c r="AE27" s="121">
        <f t="shared" si="38"/>
        <v>0</v>
      </c>
      <c r="AF27" s="121">
        <f t="shared" si="38"/>
        <v>0</v>
      </c>
      <c r="AG27" s="121">
        <f t="shared" si="38"/>
        <v>0</v>
      </c>
      <c r="AH27" s="122">
        <f t="shared" si="38"/>
        <v>0</v>
      </c>
      <c r="AI27" s="145">
        <f t="shared" si="39"/>
        <v>0</v>
      </c>
      <c r="AJ27" s="121">
        <f t="shared" si="39"/>
        <v>0</v>
      </c>
      <c r="AK27" s="121">
        <f t="shared" si="39"/>
        <v>0</v>
      </c>
      <c r="AL27" s="121">
        <f t="shared" si="39"/>
        <v>0</v>
      </c>
      <c r="AM27" s="121">
        <f t="shared" si="39"/>
        <v>0</v>
      </c>
      <c r="AN27" s="121">
        <f t="shared" si="39"/>
        <v>0</v>
      </c>
      <c r="AO27" s="121">
        <f t="shared" si="39"/>
        <v>0</v>
      </c>
      <c r="AP27" s="121">
        <f t="shared" si="39"/>
        <v>0</v>
      </c>
      <c r="AQ27" s="121">
        <f t="shared" si="39"/>
        <v>0</v>
      </c>
      <c r="AR27" s="122">
        <f t="shared" si="39"/>
        <v>0</v>
      </c>
      <c r="AS27" s="145">
        <f t="shared" si="40"/>
        <v>0</v>
      </c>
      <c r="AT27" s="121">
        <f t="shared" si="40"/>
        <v>0</v>
      </c>
      <c r="AU27" s="121">
        <f t="shared" si="40"/>
        <v>0</v>
      </c>
      <c r="AV27" s="121">
        <f t="shared" si="40"/>
        <v>0</v>
      </c>
      <c r="AW27" s="121">
        <f t="shared" si="40"/>
        <v>0</v>
      </c>
      <c r="AX27" s="121">
        <f t="shared" si="40"/>
        <v>0</v>
      </c>
      <c r="AY27" s="121">
        <f t="shared" si="40"/>
        <v>0</v>
      </c>
      <c r="AZ27" s="121">
        <f t="shared" si="40"/>
        <v>0</v>
      </c>
      <c r="BA27" s="121">
        <f t="shared" si="40"/>
        <v>0</v>
      </c>
      <c r="BB27" s="122">
        <f t="shared" si="40"/>
        <v>0</v>
      </c>
      <c r="BC27" s="145">
        <f t="shared" si="36"/>
        <v>0</v>
      </c>
      <c r="BD27" s="192">
        <f t="shared" si="20"/>
        <v>45.58</v>
      </c>
      <c r="BE27" s="192">
        <f t="shared" si="21"/>
        <v>0</v>
      </c>
      <c r="BF27" s="192">
        <f t="shared" si="22"/>
        <v>36.463999999999999</v>
      </c>
      <c r="BG27" s="192">
        <f t="shared" si="23"/>
        <v>0</v>
      </c>
      <c r="BH27" s="122"/>
      <c r="BI27" s="123"/>
      <c r="BK27" s="125">
        <f t="shared" si="11"/>
        <v>45.58</v>
      </c>
      <c r="BL27" s="125">
        <f t="shared" si="24"/>
        <v>0</v>
      </c>
    </row>
    <row r="28" spans="1:64" s="81" customFormat="1" ht="16.5" customHeight="1">
      <c r="A28" s="124" t="str">
        <f t="shared" si="12"/>
        <v>OK</v>
      </c>
      <c r="C28" s="748"/>
      <c r="D28" s="113"/>
      <c r="E28" s="114"/>
      <c r="F28" s="114">
        <f t="shared" ref="F28:F35" si="41">+F27</f>
        <v>150</v>
      </c>
      <c r="G28" s="263" t="str">
        <f t="shared" ref="G28:G35" si="42">+G27</f>
        <v>HD</v>
      </c>
      <c r="H28" s="115" t="str">
        <f t="shared" ref="H28:H35" si="43">+H27</f>
        <v>K-9</v>
      </c>
      <c r="I28" s="117">
        <f t="shared" si="13"/>
        <v>1072.1300000000001</v>
      </c>
      <c r="J28" s="116">
        <v>1109.04</v>
      </c>
      <c r="K28" s="117">
        <f t="shared" si="3"/>
        <v>36.909999999999854</v>
      </c>
      <c r="L28" s="118">
        <f t="shared" si="14"/>
        <v>36.94</v>
      </c>
      <c r="M28" s="116">
        <v>3.76</v>
      </c>
      <c r="N28" s="113" t="s">
        <v>218</v>
      </c>
      <c r="O28" s="115" t="s">
        <v>3</v>
      </c>
      <c r="P28" s="238">
        <f t="shared" si="4"/>
        <v>0</v>
      </c>
      <c r="Q28" s="238"/>
      <c r="R28" s="117">
        <f t="shared" si="15"/>
        <v>453.68</v>
      </c>
      <c r="S28" s="116">
        <v>454.42</v>
      </c>
      <c r="T28" s="117">
        <f t="shared" si="16"/>
        <v>451.80186399999997</v>
      </c>
      <c r="U28" s="264">
        <f t="shared" si="37"/>
        <v>453.18967999999995</v>
      </c>
      <c r="V28" s="117">
        <f t="shared" si="26"/>
        <v>1.8781360000000404</v>
      </c>
      <c r="W28" s="118">
        <f t="shared" si="27"/>
        <v>1.2303200000000629</v>
      </c>
      <c r="X28" s="189">
        <f t="shared" si="19"/>
        <v>1.55</v>
      </c>
      <c r="Y28" s="145">
        <f t="shared" si="38"/>
        <v>0</v>
      </c>
      <c r="Z28" s="121">
        <f t="shared" si="38"/>
        <v>0</v>
      </c>
      <c r="AA28" s="121">
        <f t="shared" si="38"/>
        <v>0</v>
      </c>
      <c r="AB28" s="121">
        <f t="shared" si="38"/>
        <v>36.94</v>
      </c>
      <c r="AC28" s="121">
        <f t="shared" si="38"/>
        <v>0</v>
      </c>
      <c r="AD28" s="121">
        <f t="shared" si="38"/>
        <v>0</v>
      </c>
      <c r="AE28" s="121">
        <f t="shared" si="38"/>
        <v>0</v>
      </c>
      <c r="AF28" s="121">
        <f t="shared" si="38"/>
        <v>0</v>
      </c>
      <c r="AG28" s="121">
        <f t="shared" si="38"/>
        <v>0</v>
      </c>
      <c r="AH28" s="122">
        <f t="shared" si="38"/>
        <v>0</v>
      </c>
      <c r="AI28" s="145">
        <f t="shared" si="39"/>
        <v>0</v>
      </c>
      <c r="AJ28" s="121">
        <f t="shared" si="39"/>
        <v>0</v>
      </c>
      <c r="AK28" s="121">
        <f t="shared" si="39"/>
        <v>0</v>
      </c>
      <c r="AL28" s="121">
        <f t="shared" si="39"/>
        <v>0</v>
      </c>
      <c r="AM28" s="121">
        <f t="shared" si="39"/>
        <v>0</v>
      </c>
      <c r="AN28" s="121">
        <f t="shared" si="39"/>
        <v>0</v>
      </c>
      <c r="AO28" s="121">
        <f t="shared" si="39"/>
        <v>0</v>
      </c>
      <c r="AP28" s="121">
        <f t="shared" si="39"/>
        <v>0</v>
      </c>
      <c r="AQ28" s="121">
        <f t="shared" si="39"/>
        <v>0</v>
      </c>
      <c r="AR28" s="122">
        <f t="shared" si="39"/>
        <v>0</v>
      </c>
      <c r="AS28" s="145">
        <f t="shared" si="40"/>
        <v>0</v>
      </c>
      <c r="AT28" s="121">
        <f t="shared" si="40"/>
        <v>0</v>
      </c>
      <c r="AU28" s="121">
        <f t="shared" si="40"/>
        <v>0</v>
      </c>
      <c r="AV28" s="121">
        <f t="shared" si="40"/>
        <v>0</v>
      </c>
      <c r="AW28" s="121">
        <f t="shared" si="40"/>
        <v>0</v>
      </c>
      <c r="AX28" s="121">
        <f t="shared" si="40"/>
        <v>0</v>
      </c>
      <c r="AY28" s="121">
        <f t="shared" si="40"/>
        <v>0</v>
      </c>
      <c r="AZ28" s="121">
        <f t="shared" si="40"/>
        <v>0</v>
      </c>
      <c r="BA28" s="121">
        <f t="shared" si="40"/>
        <v>0</v>
      </c>
      <c r="BB28" s="122">
        <f t="shared" si="40"/>
        <v>0</v>
      </c>
      <c r="BC28" s="145">
        <f t="shared" si="36"/>
        <v>0</v>
      </c>
      <c r="BD28" s="192">
        <f t="shared" si="20"/>
        <v>0</v>
      </c>
      <c r="BE28" s="192">
        <f t="shared" si="21"/>
        <v>0</v>
      </c>
      <c r="BF28" s="192">
        <f t="shared" si="22"/>
        <v>29.552</v>
      </c>
      <c r="BG28" s="192">
        <f t="shared" si="23"/>
        <v>0</v>
      </c>
      <c r="BH28" s="122"/>
      <c r="BI28" s="123"/>
      <c r="BK28" s="125">
        <f t="shared" si="11"/>
        <v>36.94</v>
      </c>
      <c r="BL28" s="125">
        <f t="shared" si="24"/>
        <v>0</v>
      </c>
    </row>
    <row r="29" spans="1:64" s="81" customFormat="1" ht="16.5" customHeight="1">
      <c r="A29" s="124" t="str">
        <f t="shared" si="12"/>
        <v>OK</v>
      </c>
      <c r="C29" s="748"/>
      <c r="D29" s="113"/>
      <c r="E29" s="114"/>
      <c r="F29" s="114">
        <f t="shared" si="41"/>
        <v>150</v>
      </c>
      <c r="G29" s="263" t="str">
        <f t="shared" si="42"/>
        <v>HD</v>
      </c>
      <c r="H29" s="115" t="str">
        <f t="shared" si="43"/>
        <v>K-9</v>
      </c>
      <c r="I29" s="117">
        <f t="shared" si="13"/>
        <v>1109.04</v>
      </c>
      <c r="J29" s="116">
        <v>1117.6600000000001</v>
      </c>
      <c r="K29" s="117">
        <f t="shared" ref="K29" si="44">J29-I29</f>
        <v>8.6200000000001182</v>
      </c>
      <c r="L29" s="118">
        <f t="shared" si="14"/>
        <v>8.6300000000000008</v>
      </c>
      <c r="M29" s="116">
        <v>3.76</v>
      </c>
      <c r="N29" s="113" t="s">
        <v>218</v>
      </c>
      <c r="O29" s="115" t="s">
        <v>3</v>
      </c>
      <c r="P29" s="238">
        <f t="shared" si="4"/>
        <v>0</v>
      </c>
      <c r="Q29" s="238"/>
      <c r="R29" s="117">
        <f t="shared" si="15"/>
        <v>454.42</v>
      </c>
      <c r="S29" s="116">
        <v>454.72</v>
      </c>
      <c r="T29" s="117">
        <f t="shared" si="16"/>
        <v>453.18967999999995</v>
      </c>
      <c r="U29" s="264">
        <f t="shared" si="37"/>
        <v>453.51379199999997</v>
      </c>
      <c r="V29" s="117">
        <f t="shared" si="26"/>
        <v>1.2303200000000629</v>
      </c>
      <c r="W29" s="118">
        <f t="shared" si="27"/>
        <v>1.2062080000000606</v>
      </c>
      <c r="X29" s="189">
        <f t="shared" ref="X29" si="45">ROUND(AVERAGE(V29:W29),2)</f>
        <v>1.22</v>
      </c>
      <c r="Y29" s="145">
        <f t="shared" si="38"/>
        <v>0</v>
      </c>
      <c r="Z29" s="121">
        <f t="shared" si="38"/>
        <v>8.6300000000000008</v>
      </c>
      <c r="AA29" s="121">
        <f t="shared" si="38"/>
        <v>0</v>
      </c>
      <c r="AB29" s="121">
        <f t="shared" si="38"/>
        <v>0</v>
      </c>
      <c r="AC29" s="121">
        <f t="shared" si="38"/>
        <v>0</v>
      </c>
      <c r="AD29" s="121">
        <f t="shared" si="38"/>
        <v>0</v>
      </c>
      <c r="AE29" s="121">
        <f t="shared" si="38"/>
        <v>0</v>
      </c>
      <c r="AF29" s="121">
        <f t="shared" si="38"/>
        <v>0</v>
      </c>
      <c r="AG29" s="121">
        <f t="shared" si="38"/>
        <v>0</v>
      </c>
      <c r="AH29" s="122">
        <f t="shared" si="38"/>
        <v>0</v>
      </c>
      <c r="AI29" s="145">
        <f t="shared" si="39"/>
        <v>0</v>
      </c>
      <c r="AJ29" s="121">
        <f t="shared" si="39"/>
        <v>0</v>
      </c>
      <c r="AK29" s="121">
        <f t="shared" si="39"/>
        <v>0</v>
      </c>
      <c r="AL29" s="121">
        <f t="shared" si="39"/>
        <v>0</v>
      </c>
      <c r="AM29" s="121">
        <f t="shared" si="39"/>
        <v>0</v>
      </c>
      <c r="AN29" s="121">
        <f t="shared" si="39"/>
        <v>0</v>
      </c>
      <c r="AO29" s="121">
        <f t="shared" si="39"/>
        <v>0</v>
      </c>
      <c r="AP29" s="121">
        <f t="shared" si="39"/>
        <v>0</v>
      </c>
      <c r="AQ29" s="121">
        <f t="shared" si="39"/>
        <v>0</v>
      </c>
      <c r="AR29" s="122">
        <f t="shared" si="39"/>
        <v>0</v>
      </c>
      <c r="AS29" s="145">
        <f t="shared" si="40"/>
        <v>0</v>
      </c>
      <c r="AT29" s="121">
        <f t="shared" si="40"/>
        <v>0</v>
      </c>
      <c r="AU29" s="121">
        <f t="shared" si="40"/>
        <v>0</v>
      </c>
      <c r="AV29" s="121">
        <f t="shared" si="40"/>
        <v>0</v>
      </c>
      <c r="AW29" s="121">
        <f t="shared" si="40"/>
        <v>0</v>
      </c>
      <c r="AX29" s="121">
        <f t="shared" si="40"/>
        <v>0</v>
      </c>
      <c r="AY29" s="121">
        <f t="shared" si="40"/>
        <v>0</v>
      </c>
      <c r="AZ29" s="121">
        <f t="shared" si="40"/>
        <v>0</v>
      </c>
      <c r="BA29" s="121">
        <f t="shared" si="40"/>
        <v>0</v>
      </c>
      <c r="BB29" s="122">
        <f t="shared" si="40"/>
        <v>0</v>
      </c>
      <c r="BC29" s="145">
        <f t="shared" ref="BC29" si="46">+IF(N29="SP",L29,0)</f>
        <v>0</v>
      </c>
      <c r="BD29" s="192">
        <f t="shared" ref="BD29" si="47">+IF(P29="E",L29,0)</f>
        <v>0</v>
      </c>
      <c r="BE29" s="192">
        <f t="shared" ref="BE29" si="48">+IF(Q29="A",L29,0)</f>
        <v>0</v>
      </c>
      <c r="BF29" s="192">
        <f t="shared" si="22"/>
        <v>6.9040000000000008</v>
      </c>
      <c r="BG29" s="192">
        <f t="shared" si="23"/>
        <v>0</v>
      </c>
      <c r="BH29" s="122"/>
      <c r="BI29" s="123"/>
      <c r="BK29" s="125">
        <f t="shared" ref="BK29" si="49">+IF(N29="AF",L29,0)</f>
        <v>8.6300000000000008</v>
      </c>
      <c r="BL29" s="125">
        <f t="shared" ref="BL29" si="50">+IF(O29="SP",K29,0)</f>
        <v>0</v>
      </c>
    </row>
    <row r="30" spans="1:64" s="81" customFormat="1" ht="16.5" customHeight="1">
      <c r="A30" s="124" t="str">
        <f t="shared" ref="A30" si="51">+IF(SUM(Y30:BB30)&gt;0,"OK","NO")</f>
        <v>OK</v>
      </c>
      <c r="C30" s="748"/>
      <c r="D30" s="113"/>
      <c r="E30" s="114"/>
      <c r="F30" s="114">
        <f t="shared" si="41"/>
        <v>150</v>
      </c>
      <c r="G30" s="263" t="str">
        <f t="shared" si="42"/>
        <v>HD</v>
      </c>
      <c r="H30" s="115" t="str">
        <f t="shared" si="43"/>
        <v>K-9</v>
      </c>
      <c r="I30" s="117">
        <f t="shared" si="13"/>
        <v>1117.6600000000001</v>
      </c>
      <c r="J30" s="116">
        <f>+J29+8.25</f>
        <v>1125.9100000000001</v>
      </c>
      <c r="K30" s="117">
        <f t="shared" ref="K30" si="52">J30-I30</f>
        <v>8.25</v>
      </c>
      <c r="L30" s="118">
        <f t="shared" ref="L30" si="53">+ROUND(K30*SQRT((M30/100)^2+1),2)</f>
        <v>8.26</v>
      </c>
      <c r="M30" s="116">
        <v>3.76</v>
      </c>
      <c r="N30" s="113" t="s">
        <v>219</v>
      </c>
      <c r="O30" s="115" t="s">
        <v>3</v>
      </c>
      <c r="P30" s="238">
        <f t="shared" ref="P30" si="54">+IF(O30="N",IF(X30&gt;1.75,"E",0),0)</f>
        <v>0</v>
      </c>
      <c r="Q30" s="238"/>
      <c r="R30" s="117">
        <f t="shared" ref="R30:R32" si="55">S29</f>
        <v>454.72</v>
      </c>
      <c r="S30" s="116">
        <v>455.19</v>
      </c>
      <c r="T30" s="117">
        <f t="shared" ref="T30:T31" si="56">U29</f>
        <v>453.51379199999997</v>
      </c>
      <c r="U30" s="264">
        <f t="shared" ref="U30" si="57">+T30+K30*M30/100</f>
        <v>453.82399199999998</v>
      </c>
      <c r="V30" s="117">
        <f t="shared" si="26"/>
        <v>1.2062080000000606</v>
      </c>
      <c r="W30" s="118">
        <f t="shared" si="27"/>
        <v>1.3660080000000221</v>
      </c>
      <c r="X30" s="189">
        <f t="shared" ref="X30" si="58">ROUND(AVERAGE(V30:W30),2)</f>
        <v>1.29</v>
      </c>
      <c r="Y30" s="145">
        <f t="shared" si="38"/>
        <v>0</v>
      </c>
      <c r="Z30" s="121">
        <f t="shared" si="38"/>
        <v>0</v>
      </c>
      <c r="AA30" s="121">
        <f t="shared" si="38"/>
        <v>8.26</v>
      </c>
      <c r="AB30" s="121">
        <f t="shared" si="38"/>
        <v>0</v>
      </c>
      <c r="AC30" s="121">
        <f t="shared" si="38"/>
        <v>0</v>
      </c>
      <c r="AD30" s="121">
        <f t="shared" si="38"/>
        <v>0</v>
      </c>
      <c r="AE30" s="121">
        <f t="shared" si="38"/>
        <v>0</v>
      </c>
      <c r="AF30" s="121">
        <f t="shared" si="38"/>
        <v>0</v>
      </c>
      <c r="AG30" s="121">
        <f t="shared" si="38"/>
        <v>0</v>
      </c>
      <c r="AH30" s="122">
        <f t="shared" si="38"/>
        <v>0</v>
      </c>
      <c r="AI30" s="145">
        <f t="shared" si="39"/>
        <v>0</v>
      </c>
      <c r="AJ30" s="121">
        <f t="shared" si="39"/>
        <v>0</v>
      </c>
      <c r="AK30" s="121">
        <f t="shared" si="39"/>
        <v>0</v>
      </c>
      <c r="AL30" s="121">
        <f t="shared" si="39"/>
        <v>0</v>
      </c>
      <c r="AM30" s="121">
        <f t="shared" si="39"/>
        <v>0</v>
      </c>
      <c r="AN30" s="121">
        <f t="shared" si="39"/>
        <v>0</v>
      </c>
      <c r="AO30" s="121">
        <f t="shared" si="39"/>
        <v>0</v>
      </c>
      <c r="AP30" s="121">
        <f t="shared" si="39"/>
        <v>0</v>
      </c>
      <c r="AQ30" s="121">
        <f t="shared" si="39"/>
        <v>0</v>
      </c>
      <c r="AR30" s="122">
        <f t="shared" si="39"/>
        <v>0</v>
      </c>
      <c r="AS30" s="145">
        <f t="shared" si="40"/>
        <v>0</v>
      </c>
      <c r="AT30" s="121">
        <f t="shared" si="40"/>
        <v>0</v>
      </c>
      <c r="AU30" s="121">
        <f t="shared" si="40"/>
        <v>0</v>
      </c>
      <c r="AV30" s="121">
        <f t="shared" si="40"/>
        <v>0</v>
      </c>
      <c r="AW30" s="121">
        <f t="shared" si="40"/>
        <v>0</v>
      </c>
      <c r="AX30" s="121">
        <f t="shared" si="40"/>
        <v>0</v>
      </c>
      <c r="AY30" s="121">
        <f t="shared" si="40"/>
        <v>0</v>
      </c>
      <c r="AZ30" s="121">
        <f t="shared" si="40"/>
        <v>0</v>
      </c>
      <c r="BA30" s="121">
        <f t="shared" si="40"/>
        <v>0</v>
      </c>
      <c r="BB30" s="122">
        <f t="shared" si="40"/>
        <v>0</v>
      </c>
      <c r="BC30" s="145">
        <f t="shared" ref="BC30" si="59">+IF(N30="SP",L30,0)</f>
        <v>0</v>
      </c>
      <c r="BD30" s="192">
        <f t="shared" ref="BD30" si="60">+IF(P30="E",L30,0)</f>
        <v>0</v>
      </c>
      <c r="BE30" s="192">
        <f t="shared" ref="BE30" si="61">+IF(Q30="A",L30,0)</f>
        <v>0</v>
      </c>
      <c r="BF30" s="192">
        <f t="shared" si="22"/>
        <v>0</v>
      </c>
      <c r="BG30" s="192">
        <f t="shared" si="23"/>
        <v>9.0860000000000003</v>
      </c>
      <c r="BH30" s="122"/>
      <c r="BI30" s="123"/>
      <c r="BK30" s="125">
        <f t="shared" ref="BK30" si="62">+IF(N30="AF",L30,0)</f>
        <v>0</v>
      </c>
      <c r="BL30" s="125">
        <f t="shared" ref="BL30" si="63">+IF(O30="SP",K30,0)</f>
        <v>0</v>
      </c>
    </row>
    <row r="31" spans="1:64" s="81" customFormat="1" ht="16.5" customHeight="1">
      <c r="A31" s="124" t="str">
        <f t="shared" si="12"/>
        <v>OK</v>
      </c>
      <c r="C31" s="748"/>
      <c r="D31" s="113"/>
      <c r="E31" s="114"/>
      <c r="F31" s="114">
        <f t="shared" si="41"/>
        <v>150</v>
      </c>
      <c r="G31" s="263" t="str">
        <f t="shared" si="42"/>
        <v>HD</v>
      </c>
      <c r="H31" s="115" t="str">
        <f t="shared" si="43"/>
        <v>K-9</v>
      </c>
      <c r="I31" s="117">
        <f t="shared" si="13"/>
        <v>1125.9100000000001</v>
      </c>
      <c r="J31" s="116">
        <v>1129.8499999999999</v>
      </c>
      <c r="K31" s="117">
        <f t="shared" ref="K31" si="64">J31-I31</f>
        <v>3.9399999999998272</v>
      </c>
      <c r="L31" s="118">
        <f t="shared" si="14"/>
        <v>3.94</v>
      </c>
      <c r="M31" s="116">
        <v>3.76</v>
      </c>
      <c r="N31" s="113" t="s">
        <v>218</v>
      </c>
      <c r="O31" s="115" t="s">
        <v>4</v>
      </c>
      <c r="P31" s="238">
        <f t="shared" si="4"/>
        <v>0</v>
      </c>
      <c r="Q31" s="238" t="s">
        <v>205</v>
      </c>
      <c r="R31" s="117">
        <f t="shared" si="55"/>
        <v>455.19</v>
      </c>
      <c r="S31" s="116">
        <v>455.66</v>
      </c>
      <c r="T31" s="117">
        <f t="shared" si="56"/>
        <v>453.82399199999998</v>
      </c>
      <c r="U31" s="264">
        <f t="shared" si="37"/>
        <v>453.97213599999998</v>
      </c>
      <c r="V31" s="117">
        <f t="shared" si="26"/>
        <v>1.3660080000000221</v>
      </c>
      <c r="W31" s="118">
        <f t="shared" si="27"/>
        <v>1.6878640000000473</v>
      </c>
      <c r="X31" s="189">
        <f t="shared" ref="X31" si="65">ROUND(AVERAGE(V31:W31),2)</f>
        <v>1.53</v>
      </c>
      <c r="Y31" s="145">
        <f t="shared" si="38"/>
        <v>0</v>
      </c>
      <c r="Z31" s="121">
        <f t="shared" si="38"/>
        <v>0</v>
      </c>
      <c r="AA31" s="121">
        <f t="shared" si="38"/>
        <v>0</v>
      </c>
      <c r="AB31" s="121">
        <f t="shared" si="38"/>
        <v>0</v>
      </c>
      <c r="AC31" s="121">
        <f t="shared" si="38"/>
        <v>0</v>
      </c>
      <c r="AD31" s="121">
        <f t="shared" si="38"/>
        <v>0</v>
      </c>
      <c r="AE31" s="121">
        <f t="shared" si="38"/>
        <v>0</v>
      </c>
      <c r="AF31" s="121">
        <f t="shared" si="38"/>
        <v>0</v>
      </c>
      <c r="AG31" s="121">
        <f t="shared" si="38"/>
        <v>0</v>
      </c>
      <c r="AH31" s="122">
        <f t="shared" si="38"/>
        <v>0</v>
      </c>
      <c r="AI31" s="145">
        <f t="shared" si="39"/>
        <v>0</v>
      </c>
      <c r="AJ31" s="121">
        <f t="shared" si="39"/>
        <v>0</v>
      </c>
      <c r="AK31" s="121">
        <f t="shared" si="39"/>
        <v>0</v>
      </c>
      <c r="AL31" s="121">
        <f t="shared" si="39"/>
        <v>0</v>
      </c>
      <c r="AM31" s="121">
        <f t="shared" si="39"/>
        <v>0</v>
      </c>
      <c r="AN31" s="121">
        <f t="shared" si="39"/>
        <v>0</v>
      </c>
      <c r="AO31" s="121">
        <f t="shared" si="39"/>
        <v>0</v>
      </c>
      <c r="AP31" s="121">
        <f t="shared" si="39"/>
        <v>0</v>
      </c>
      <c r="AQ31" s="121">
        <f t="shared" si="39"/>
        <v>0</v>
      </c>
      <c r="AR31" s="122">
        <f t="shared" si="39"/>
        <v>0</v>
      </c>
      <c r="AS31" s="145">
        <f t="shared" si="40"/>
        <v>0</v>
      </c>
      <c r="AT31" s="121">
        <f t="shared" si="40"/>
        <v>0</v>
      </c>
      <c r="AU31" s="121">
        <f t="shared" si="40"/>
        <v>0</v>
      </c>
      <c r="AV31" s="121">
        <f t="shared" si="40"/>
        <v>3.94</v>
      </c>
      <c r="AW31" s="121">
        <f t="shared" si="40"/>
        <v>0</v>
      </c>
      <c r="AX31" s="121">
        <f t="shared" si="40"/>
        <v>0</v>
      </c>
      <c r="AY31" s="121">
        <f t="shared" si="40"/>
        <v>0</v>
      </c>
      <c r="AZ31" s="121">
        <f t="shared" si="40"/>
        <v>0</v>
      </c>
      <c r="BA31" s="121">
        <f t="shared" si="40"/>
        <v>0</v>
      </c>
      <c r="BB31" s="122">
        <f t="shared" si="40"/>
        <v>0</v>
      </c>
      <c r="BC31" s="145">
        <f t="shared" ref="BC31" si="66">+IF(N31="SP",L31,0)</f>
        <v>0</v>
      </c>
      <c r="BD31" s="192">
        <f t="shared" ref="BD31" si="67">+IF(P31="E",L31,0)</f>
        <v>0</v>
      </c>
      <c r="BE31" s="192">
        <f t="shared" ref="BE31" si="68">+IF(Q31="A",L31,0)</f>
        <v>3.94</v>
      </c>
      <c r="BF31" s="192">
        <f t="shared" si="22"/>
        <v>3.1520000000000001</v>
      </c>
      <c r="BG31" s="192">
        <f t="shared" si="23"/>
        <v>0</v>
      </c>
      <c r="BH31" s="122"/>
      <c r="BI31" s="123"/>
      <c r="BK31" s="125">
        <f t="shared" ref="BK31" si="69">+IF(N31="AF",L31,0)</f>
        <v>3.94</v>
      </c>
      <c r="BL31" s="125">
        <f t="shared" ref="BL31" si="70">+IF(O31="SP",K31,0)</f>
        <v>0</v>
      </c>
    </row>
    <row r="32" spans="1:64" s="81" customFormat="1" ht="16.5" customHeight="1">
      <c r="A32" s="124" t="str">
        <f t="shared" si="12"/>
        <v>OK</v>
      </c>
      <c r="C32" s="748"/>
      <c r="D32" s="113"/>
      <c r="E32" s="114"/>
      <c r="F32" s="114">
        <f t="shared" si="41"/>
        <v>150</v>
      </c>
      <c r="G32" s="263" t="str">
        <f t="shared" si="42"/>
        <v>HD</v>
      </c>
      <c r="H32" s="115" t="str">
        <f t="shared" si="43"/>
        <v>K-9</v>
      </c>
      <c r="I32" s="117">
        <f t="shared" si="13"/>
        <v>1129.8499999999999</v>
      </c>
      <c r="J32" s="116">
        <v>1186.5800000000002</v>
      </c>
      <c r="K32" s="117">
        <f t="shared" ref="K32" si="71">J32-I32</f>
        <v>56.730000000000246</v>
      </c>
      <c r="L32" s="118">
        <f t="shared" si="14"/>
        <v>56.77</v>
      </c>
      <c r="M32" s="116">
        <v>3.76</v>
      </c>
      <c r="N32" s="113" t="s">
        <v>216</v>
      </c>
      <c r="O32" s="115" t="s">
        <v>4</v>
      </c>
      <c r="P32" s="238">
        <f t="shared" si="4"/>
        <v>0</v>
      </c>
      <c r="Q32" s="238" t="s">
        <v>205</v>
      </c>
      <c r="R32" s="117">
        <f t="shared" si="55"/>
        <v>455.66</v>
      </c>
      <c r="S32" s="116">
        <v>457.76</v>
      </c>
      <c r="T32" s="117">
        <f t="shared" si="16"/>
        <v>453.97213599999998</v>
      </c>
      <c r="U32" s="264">
        <f t="shared" si="37"/>
        <v>456.10518400000001</v>
      </c>
      <c r="V32" s="117">
        <f t="shared" si="26"/>
        <v>1.6878640000000473</v>
      </c>
      <c r="W32" s="118">
        <f t="shared" si="27"/>
        <v>1.6548159999999825</v>
      </c>
      <c r="X32" s="189">
        <f t="shared" ref="X32" si="72">ROUND(AVERAGE(V32:W32),2)</f>
        <v>1.67</v>
      </c>
      <c r="Y32" s="145">
        <f t="shared" si="38"/>
        <v>0</v>
      </c>
      <c r="Z32" s="121">
        <f t="shared" si="38"/>
        <v>0</v>
      </c>
      <c r="AA32" s="121">
        <f t="shared" si="38"/>
        <v>0</v>
      </c>
      <c r="AB32" s="121">
        <f t="shared" si="38"/>
        <v>0</v>
      </c>
      <c r="AC32" s="121">
        <f t="shared" si="38"/>
        <v>0</v>
      </c>
      <c r="AD32" s="121">
        <f t="shared" si="38"/>
        <v>0</v>
      </c>
      <c r="AE32" s="121">
        <f t="shared" si="38"/>
        <v>0</v>
      </c>
      <c r="AF32" s="121">
        <f t="shared" si="38"/>
        <v>0</v>
      </c>
      <c r="AG32" s="121">
        <f t="shared" si="38"/>
        <v>0</v>
      </c>
      <c r="AH32" s="122">
        <f t="shared" si="38"/>
        <v>0</v>
      </c>
      <c r="AI32" s="145">
        <f t="shared" si="39"/>
        <v>0</v>
      </c>
      <c r="AJ32" s="121">
        <f t="shared" si="39"/>
        <v>0</v>
      </c>
      <c r="AK32" s="121">
        <f t="shared" si="39"/>
        <v>0</v>
      </c>
      <c r="AL32" s="121">
        <f t="shared" si="39"/>
        <v>0</v>
      </c>
      <c r="AM32" s="121">
        <f t="shared" si="39"/>
        <v>0</v>
      </c>
      <c r="AN32" s="121">
        <f t="shared" si="39"/>
        <v>0</v>
      </c>
      <c r="AO32" s="121">
        <f t="shared" si="39"/>
        <v>0</v>
      </c>
      <c r="AP32" s="121">
        <f t="shared" si="39"/>
        <v>0</v>
      </c>
      <c r="AQ32" s="121">
        <f t="shared" si="39"/>
        <v>0</v>
      </c>
      <c r="AR32" s="122">
        <f t="shared" si="39"/>
        <v>0</v>
      </c>
      <c r="AS32" s="145">
        <f t="shared" si="40"/>
        <v>0</v>
      </c>
      <c r="AT32" s="121">
        <f t="shared" si="40"/>
        <v>0</v>
      </c>
      <c r="AU32" s="121">
        <f t="shared" si="40"/>
        <v>0</v>
      </c>
      <c r="AV32" s="121">
        <f t="shared" si="40"/>
        <v>56.77</v>
      </c>
      <c r="AW32" s="121">
        <f t="shared" si="40"/>
        <v>0</v>
      </c>
      <c r="AX32" s="121">
        <f t="shared" si="40"/>
        <v>0</v>
      </c>
      <c r="AY32" s="121">
        <f t="shared" si="40"/>
        <v>0</v>
      </c>
      <c r="AZ32" s="121">
        <f t="shared" si="40"/>
        <v>0</v>
      </c>
      <c r="BA32" s="121">
        <f t="shared" si="40"/>
        <v>0</v>
      </c>
      <c r="BB32" s="122">
        <f t="shared" si="40"/>
        <v>0</v>
      </c>
      <c r="BC32" s="145">
        <f t="shared" ref="BC32" si="73">+IF(N32="SP",L32,0)</f>
        <v>56.77</v>
      </c>
      <c r="BD32" s="192">
        <f t="shared" ref="BD32" si="74">+IF(P32="E",L32,0)</f>
        <v>0</v>
      </c>
      <c r="BE32" s="192">
        <f t="shared" ref="BE32" si="75">+IF(Q32="A",L32,0)</f>
        <v>56.77</v>
      </c>
      <c r="BF32" s="192">
        <f t="shared" si="22"/>
        <v>0</v>
      </c>
      <c r="BG32" s="192">
        <f t="shared" si="23"/>
        <v>0</v>
      </c>
      <c r="BH32" s="122"/>
      <c r="BI32" s="123"/>
      <c r="BK32" s="125">
        <f t="shared" ref="BK32" si="76">+IF(N32="AF",L32,0)</f>
        <v>0</v>
      </c>
      <c r="BL32" s="125">
        <f t="shared" ref="BL32" si="77">+IF(O32="SP",K32,0)</f>
        <v>0</v>
      </c>
    </row>
    <row r="33" spans="1:72" s="81" customFormat="1" ht="16.5" customHeight="1">
      <c r="A33" s="124" t="str">
        <f t="shared" si="12"/>
        <v>OK</v>
      </c>
      <c r="C33" s="748"/>
      <c r="D33" s="113"/>
      <c r="E33" s="114"/>
      <c r="F33" s="114">
        <f t="shared" si="41"/>
        <v>150</v>
      </c>
      <c r="G33" s="263" t="str">
        <f t="shared" si="42"/>
        <v>HD</v>
      </c>
      <c r="H33" s="115" t="str">
        <f t="shared" si="43"/>
        <v>K-9</v>
      </c>
      <c r="I33" s="117">
        <f t="shared" si="13"/>
        <v>1186.5800000000002</v>
      </c>
      <c r="J33" s="116">
        <v>1195.8800000000001</v>
      </c>
      <c r="K33" s="117">
        <f t="shared" si="3"/>
        <v>9.2999999999999545</v>
      </c>
      <c r="L33" s="118">
        <f t="shared" si="14"/>
        <v>9.3699999999999992</v>
      </c>
      <c r="M33" s="116">
        <v>12.04</v>
      </c>
      <c r="N33" s="113" t="s">
        <v>216</v>
      </c>
      <c r="O33" s="115" t="s">
        <v>4</v>
      </c>
      <c r="P33" s="238">
        <f t="shared" si="4"/>
        <v>0</v>
      </c>
      <c r="Q33" s="238" t="s">
        <v>205</v>
      </c>
      <c r="R33" s="117">
        <f t="shared" si="15"/>
        <v>457.76</v>
      </c>
      <c r="S33" s="116">
        <v>460.21</v>
      </c>
      <c r="T33" s="117">
        <f t="shared" si="16"/>
        <v>456.10518400000001</v>
      </c>
      <c r="U33" s="264">
        <f t="shared" si="37"/>
        <v>457.22490399999998</v>
      </c>
      <c r="V33" s="117">
        <f t="shared" si="26"/>
        <v>1.6548159999999825</v>
      </c>
      <c r="W33" s="118">
        <f t="shared" si="27"/>
        <v>2.9850959999999986</v>
      </c>
      <c r="X33" s="189">
        <f t="shared" si="19"/>
        <v>2.3199999999999998</v>
      </c>
      <c r="Y33" s="145">
        <f t="shared" si="38"/>
        <v>0</v>
      </c>
      <c r="Z33" s="121">
        <f t="shared" si="38"/>
        <v>0</v>
      </c>
      <c r="AA33" s="121">
        <f t="shared" si="38"/>
        <v>0</v>
      </c>
      <c r="AB33" s="121">
        <f t="shared" si="38"/>
        <v>0</v>
      </c>
      <c r="AC33" s="121">
        <f t="shared" si="38"/>
        <v>0</v>
      </c>
      <c r="AD33" s="121">
        <f t="shared" si="38"/>
        <v>0</v>
      </c>
      <c r="AE33" s="121">
        <f t="shared" si="38"/>
        <v>0</v>
      </c>
      <c r="AF33" s="121">
        <f t="shared" si="38"/>
        <v>0</v>
      </c>
      <c r="AG33" s="121">
        <f t="shared" si="38"/>
        <v>0</v>
      </c>
      <c r="AH33" s="122">
        <f t="shared" si="38"/>
        <v>0</v>
      </c>
      <c r="AI33" s="145">
        <f t="shared" si="39"/>
        <v>0</v>
      </c>
      <c r="AJ33" s="121">
        <f t="shared" si="39"/>
        <v>0</v>
      </c>
      <c r="AK33" s="121">
        <f t="shared" si="39"/>
        <v>0</v>
      </c>
      <c r="AL33" s="121">
        <f t="shared" si="39"/>
        <v>0</v>
      </c>
      <c r="AM33" s="121">
        <f t="shared" si="39"/>
        <v>0</v>
      </c>
      <c r="AN33" s="121">
        <f t="shared" si="39"/>
        <v>0</v>
      </c>
      <c r="AO33" s="121">
        <f t="shared" si="39"/>
        <v>0</v>
      </c>
      <c r="AP33" s="121">
        <f t="shared" si="39"/>
        <v>0</v>
      </c>
      <c r="AQ33" s="121">
        <f t="shared" si="39"/>
        <v>0</v>
      </c>
      <c r="AR33" s="122">
        <f t="shared" si="39"/>
        <v>0</v>
      </c>
      <c r="AS33" s="145">
        <f t="shared" si="40"/>
        <v>0</v>
      </c>
      <c r="AT33" s="121">
        <f t="shared" si="40"/>
        <v>0</v>
      </c>
      <c r="AU33" s="121">
        <f t="shared" si="40"/>
        <v>0</v>
      </c>
      <c r="AV33" s="121">
        <f t="shared" si="40"/>
        <v>0</v>
      </c>
      <c r="AW33" s="121">
        <f t="shared" si="40"/>
        <v>0</v>
      </c>
      <c r="AX33" s="121">
        <f t="shared" si="40"/>
        <v>9.3699999999999992</v>
      </c>
      <c r="AY33" s="121">
        <f t="shared" si="40"/>
        <v>0</v>
      </c>
      <c r="AZ33" s="121">
        <f t="shared" si="40"/>
        <v>0</v>
      </c>
      <c r="BA33" s="121">
        <f t="shared" si="40"/>
        <v>0</v>
      </c>
      <c r="BB33" s="122">
        <f t="shared" si="40"/>
        <v>0</v>
      </c>
      <c r="BC33" s="145">
        <f t="shared" si="36"/>
        <v>9.3699999999999992</v>
      </c>
      <c r="BD33" s="192">
        <f t="shared" si="20"/>
        <v>0</v>
      </c>
      <c r="BE33" s="192">
        <f t="shared" si="21"/>
        <v>9.3699999999999992</v>
      </c>
      <c r="BF33" s="192">
        <f t="shared" si="22"/>
        <v>0</v>
      </c>
      <c r="BG33" s="192">
        <f t="shared" si="23"/>
        <v>0</v>
      </c>
      <c r="BH33" s="122"/>
      <c r="BI33" s="123"/>
      <c r="BK33" s="125">
        <f t="shared" si="11"/>
        <v>0</v>
      </c>
      <c r="BL33" s="125">
        <f t="shared" si="24"/>
        <v>0</v>
      </c>
    </row>
    <row r="34" spans="1:72" s="81" customFormat="1" ht="16.5" customHeight="1">
      <c r="A34" s="124" t="str">
        <f t="shared" si="12"/>
        <v>OK</v>
      </c>
      <c r="C34" s="748"/>
      <c r="D34" s="113"/>
      <c r="E34" s="114"/>
      <c r="F34" s="114">
        <f t="shared" si="41"/>
        <v>150</v>
      </c>
      <c r="G34" s="263" t="str">
        <f t="shared" si="42"/>
        <v>HD</v>
      </c>
      <c r="H34" s="115" t="str">
        <f t="shared" si="43"/>
        <v>K-9</v>
      </c>
      <c r="I34" s="117">
        <f t="shared" si="13"/>
        <v>1195.8800000000001</v>
      </c>
      <c r="J34" s="116">
        <v>1201.3000000000002</v>
      </c>
      <c r="K34" s="117">
        <f t="shared" ref="K34:K35" si="78">J34-I34</f>
        <v>5.4200000000000728</v>
      </c>
      <c r="L34" s="118">
        <f t="shared" si="14"/>
        <v>5.98</v>
      </c>
      <c r="M34" s="116">
        <v>46.49</v>
      </c>
      <c r="N34" s="113" t="s">
        <v>216</v>
      </c>
      <c r="O34" s="115" t="s">
        <v>4</v>
      </c>
      <c r="P34" s="238">
        <f t="shared" si="4"/>
        <v>0</v>
      </c>
      <c r="Q34" s="238" t="s">
        <v>205</v>
      </c>
      <c r="R34" s="117">
        <f t="shared" si="15"/>
        <v>460.21</v>
      </c>
      <c r="S34" s="116">
        <v>461.56</v>
      </c>
      <c r="T34" s="117">
        <f t="shared" si="16"/>
        <v>457.22490399999998</v>
      </c>
      <c r="U34" s="264">
        <f t="shared" si="37"/>
        <v>459.74466200000001</v>
      </c>
      <c r="V34" s="117">
        <f t="shared" si="26"/>
        <v>2.9850959999999986</v>
      </c>
      <c r="W34" s="118">
        <f t="shared" si="27"/>
        <v>1.815337999999997</v>
      </c>
      <c r="X34" s="189">
        <f t="shared" si="19"/>
        <v>2.4</v>
      </c>
      <c r="Y34" s="145">
        <f t="shared" si="38"/>
        <v>0</v>
      </c>
      <c r="Z34" s="121">
        <f t="shared" si="38"/>
        <v>0</v>
      </c>
      <c r="AA34" s="121">
        <f t="shared" si="38"/>
        <v>0</v>
      </c>
      <c r="AB34" s="121">
        <f t="shared" si="38"/>
        <v>0</v>
      </c>
      <c r="AC34" s="121">
        <f t="shared" si="38"/>
        <v>0</v>
      </c>
      <c r="AD34" s="121">
        <f t="shared" si="38"/>
        <v>0</v>
      </c>
      <c r="AE34" s="121">
        <f t="shared" si="38"/>
        <v>0</v>
      </c>
      <c r="AF34" s="121">
        <f t="shared" si="38"/>
        <v>0</v>
      </c>
      <c r="AG34" s="121">
        <f t="shared" si="38"/>
        <v>0</v>
      </c>
      <c r="AH34" s="122">
        <f t="shared" si="38"/>
        <v>0</v>
      </c>
      <c r="AI34" s="145">
        <f t="shared" si="39"/>
        <v>0</v>
      </c>
      <c r="AJ34" s="121">
        <f t="shared" si="39"/>
        <v>0</v>
      </c>
      <c r="AK34" s="121">
        <f t="shared" si="39"/>
        <v>0</v>
      </c>
      <c r="AL34" s="121">
        <f t="shared" si="39"/>
        <v>0</v>
      </c>
      <c r="AM34" s="121">
        <f t="shared" si="39"/>
        <v>0</v>
      </c>
      <c r="AN34" s="121">
        <f t="shared" si="39"/>
        <v>0</v>
      </c>
      <c r="AO34" s="121">
        <f t="shared" si="39"/>
        <v>0</v>
      </c>
      <c r="AP34" s="121">
        <f t="shared" si="39"/>
        <v>0</v>
      </c>
      <c r="AQ34" s="121">
        <f t="shared" si="39"/>
        <v>0</v>
      </c>
      <c r="AR34" s="122">
        <f t="shared" si="39"/>
        <v>0</v>
      </c>
      <c r="AS34" s="145">
        <f t="shared" si="40"/>
        <v>0</v>
      </c>
      <c r="AT34" s="121">
        <f t="shared" si="40"/>
        <v>0</v>
      </c>
      <c r="AU34" s="121">
        <f t="shared" si="40"/>
        <v>0</v>
      </c>
      <c r="AV34" s="121">
        <f t="shared" si="40"/>
        <v>0</v>
      </c>
      <c r="AW34" s="121">
        <f t="shared" si="40"/>
        <v>0</v>
      </c>
      <c r="AX34" s="121">
        <f t="shared" si="40"/>
        <v>5.98</v>
      </c>
      <c r="AY34" s="121">
        <f t="shared" si="40"/>
        <v>0</v>
      </c>
      <c r="AZ34" s="121">
        <f t="shared" si="40"/>
        <v>0</v>
      </c>
      <c r="BA34" s="121">
        <f t="shared" si="40"/>
        <v>0</v>
      </c>
      <c r="BB34" s="122">
        <f t="shared" si="40"/>
        <v>0</v>
      </c>
      <c r="BC34" s="145">
        <f t="shared" ref="BC34:BC35" si="79">+IF(N34="SP",L34,0)</f>
        <v>5.98</v>
      </c>
      <c r="BD34" s="192">
        <f t="shared" ref="BD34:BD35" si="80">+IF(P34="E",L34,0)</f>
        <v>0</v>
      </c>
      <c r="BE34" s="192">
        <f t="shared" ref="BE34:BE35" si="81">+IF(Q34="A",L34,0)</f>
        <v>5.98</v>
      </c>
      <c r="BF34" s="192">
        <f t="shared" si="22"/>
        <v>0</v>
      </c>
      <c r="BG34" s="192">
        <f t="shared" si="23"/>
        <v>0</v>
      </c>
      <c r="BH34" s="122"/>
      <c r="BI34" s="123"/>
      <c r="BK34" s="125">
        <f t="shared" ref="BK34:BK35" si="82">+IF(N34="AF",L34,0)</f>
        <v>0</v>
      </c>
      <c r="BL34" s="125">
        <f t="shared" ref="BL34:BL35" si="83">+IF(O34="SP",K34,0)</f>
        <v>0</v>
      </c>
    </row>
    <row r="35" spans="1:72" s="81" customFormat="1" ht="16.5" customHeight="1">
      <c r="A35" s="124" t="str">
        <f t="shared" si="12"/>
        <v>OK</v>
      </c>
      <c r="C35" s="748"/>
      <c r="D35" s="113"/>
      <c r="E35" s="114"/>
      <c r="F35" s="114">
        <f t="shared" si="41"/>
        <v>150</v>
      </c>
      <c r="G35" s="263" t="str">
        <f t="shared" si="42"/>
        <v>HD</v>
      </c>
      <c r="H35" s="115" t="str">
        <f t="shared" si="43"/>
        <v>K-9</v>
      </c>
      <c r="I35" s="117">
        <f t="shared" si="13"/>
        <v>1201.3000000000002</v>
      </c>
      <c r="J35" s="116">
        <v>1234.27</v>
      </c>
      <c r="K35" s="117">
        <f t="shared" si="78"/>
        <v>32.9699999999998</v>
      </c>
      <c r="L35" s="118">
        <f t="shared" si="14"/>
        <v>33.47</v>
      </c>
      <c r="M35" s="116">
        <v>17.559999999999999</v>
      </c>
      <c r="N35" s="113" t="s">
        <v>216</v>
      </c>
      <c r="O35" s="115" t="s">
        <v>4</v>
      </c>
      <c r="P35" s="238">
        <f t="shared" si="4"/>
        <v>0</v>
      </c>
      <c r="Q35" s="238" t="s">
        <v>205</v>
      </c>
      <c r="R35" s="117">
        <f t="shared" si="15"/>
        <v>461.56</v>
      </c>
      <c r="S35" s="116">
        <v>467.52</v>
      </c>
      <c r="T35" s="117">
        <f t="shared" si="16"/>
        <v>459.74466200000001</v>
      </c>
      <c r="U35" s="264">
        <f t="shared" si="37"/>
        <v>465.53419399999996</v>
      </c>
      <c r="V35" s="117">
        <f t="shared" si="26"/>
        <v>1.815337999999997</v>
      </c>
      <c r="W35" s="118">
        <f t="shared" si="27"/>
        <v>1.9858060000000251</v>
      </c>
      <c r="X35" s="189">
        <f t="shared" si="19"/>
        <v>1.9</v>
      </c>
      <c r="Y35" s="145">
        <f t="shared" si="38"/>
        <v>0</v>
      </c>
      <c r="Z35" s="121">
        <f t="shared" si="38"/>
        <v>0</v>
      </c>
      <c r="AA35" s="121">
        <f t="shared" si="38"/>
        <v>0</v>
      </c>
      <c r="AB35" s="121">
        <f t="shared" si="38"/>
        <v>0</v>
      </c>
      <c r="AC35" s="121">
        <f t="shared" si="38"/>
        <v>0</v>
      </c>
      <c r="AD35" s="121">
        <f t="shared" si="38"/>
        <v>0</v>
      </c>
      <c r="AE35" s="121">
        <f t="shared" si="38"/>
        <v>0</v>
      </c>
      <c r="AF35" s="121">
        <f t="shared" si="38"/>
        <v>0</v>
      </c>
      <c r="AG35" s="121">
        <f t="shared" si="38"/>
        <v>0</v>
      </c>
      <c r="AH35" s="122">
        <f t="shared" si="38"/>
        <v>0</v>
      </c>
      <c r="AI35" s="145">
        <f t="shared" si="39"/>
        <v>0</v>
      </c>
      <c r="AJ35" s="121">
        <f t="shared" si="39"/>
        <v>0</v>
      </c>
      <c r="AK35" s="121">
        <f t="shared" si="39"/>
        <v>0</v>
      </c>
      <c r="AL35" s="121">
        <f t="shared" si="39"/>
        <v>0</v>
      </c>
      <c r="AM35" s="121">
        <f t="shared" si="39"/>
        <v>0</v>
      </c>
      <c r="AN35" s="121">
        <f t="shared" si="39"/>
        <v>0</v>
      </c>
      <c r="AO35" s="121">
        <f t="shared" si="39"/>
        <v>0</v>
      </c>
      <c r="AP35" s="121">
        <f t="shared" si="39"/>
        <v>0</v>
      </c>
      <c r="AQ35" s="121">
        <f t="shared" si="39"/>
        <v>0</v>
      </c>
      <c r="AR35" s="122">
        <f t="shared" si="39"/>
        <v>0</v>
      </c>
      <c r="AS35" s="145">
        <f t="shared" si="40"/>
        <v>0</v>
      </c>
      <c r="AT35" s="121">
        <f t="shared" si="40"/>
        <v>0</v>
      </c>
      <c r="AU35" s="121">
        <f t="shared" si="40"/>
        <v>0</v>
      </c>
      <c r="AV35" s="121">
        <f t="shared" si="40"/>
        <v>0</v>
      </c>
      <c r="AW35" s="121">
        <f t="shared" si="40"/>
        <v>33.47</v>
      </c>
      <c r="AX35" s="121">
        <f t="shared" si="40"/>
        <v>0</v>
      </c>
      <c r="AY35" s="121">
        <f t="shared" si="40"/>
        <v>0</v>
      </c>
      <c r="AZ35" s="121">
        <f t="shared" si="40"/>
        <v>0</v>
      </c>
      <c r="BA35" s="121">
        <f t="shared" si="40"/>
        <v>0</v>
      </c>
      <c r="BB35" s="122">
        <f t="shared" si="40"/>
        <v>0</v>
      </c>
      <c r="BC35" s="145">
        <f t="shared" si="79"/>
        <v>33.47</v>
      </c>
      <c r="BD35" s="192">
        <f t="shared" si="80"/>
        <v>0</v>
      </c>
      <c r="BE35" s="192">
        <f t="shared" si="81"/>
        <v>33.47</v>
      </c>
      <c r="BF35" s="192">
        <f t="shared" si="22"/>
        <v>0</v>
      </c>
      <c r="BG35" s="192">
        <f t="shared" si="23"/>
        <v>0</v>
      </c>
      <c r="BH35" s="122"/>
      <c r="BI35" s="123"/>
      <c r="BK35" s="125">
        <f t="shared" si="82"/>
        <v>0</v>
      </c>
      <c r="BL35" s="125">
        <f t="shared" si="83"/>
        <v>0</v>
      </c>
    </row>
    <row r="36" spans="1:72" s="81" customFormat="1" ht="12.75" customHeight="1">
      <c r="C36" s="759"/>
      <c r="D36" s="178"/>
      <c r="E36" s="179"/>
      <c r="F36" s="179"/>
      <c r="G36" s="179"/>
      <c r="H36" s="180"/>
      <c r="I36" s="181"/>
      <c r="J36" s="182"/>
      <c r="K36" s="203"/>
      <c r="L36" s="204">
        <f>SUM(L14:L35)</f>
        <v>1242.73</v>
      </c>
      <c r="M36" s="184"/>
      <c r="N36" s="204">
        <f>SUM(N14:N35)</f>
        <v>0</v>
      </c>
      <c r="O36" s="180"/>
      <c r="P36" s="239"/>
      <c r="Q36" s="239"/>
      <c r="R36" s="181"/>
      <c r="S36" s="182"/>
      <c r="T36" s="181"/>
      <c r="U36" s="182"/>
      <c r="V36" s="181"/>
      <c r="W36" s="183"/>
      <c r="X36" s="190"/>
      <c r="Y36" s="220">
        <f>SUM(Y14:Y35)</f>
        <v>0</v>
      </c>
      <c r="Z36" s="221">
        <f>SUM(Z14:Z35)</f>
        <v>8.6300000000000008</v>
      </c>
      <c r="AA36" s="221">
        <f t="shared" ref="AA36:AG36" si="84">SUM(AA14:AA35)</f>
        <v>56.93</v>
      </c>
      <c r="AB36" s="221">
        <f t="shared" si="84"/>
        <v>413.42</v>
      </c>
      <c r="AC36" s="221">
        <f t="shared" si="84"/>
        <v>522.76</v>
      </c>
      <c r="AD36" s="221">
        <f t="shared" si="84"/>
        <v>45.58</v>
      </c>
      <c r="AE36" s="221">
        <f t="shared" si="84"/>
        <v>0</v>
      </c>
      <c r="AF36" s="221">
        <f t="shared" si="84"/>
        <v>0</v>
      </c>
      <c r="AG36" s="221">
        <f t="shared" si="84"/>
        <v>0</v>
      </c>
      <c r="AH36" s="222">
        <f>SUM(AH14:AH35)</f>
        <v>0</v>
      </c>
      <c r="AI36" s="226">
        <f>SUM(AI14:AI33)</f>
        <v>0</v>
      </c>
      <c r="AJ36" s="227">
        <f t="shared" ref="AJ36:AR36" si="85">SUM(AJ14:AJ33)</f>
        <v>0</v>
      </c>
      <c r="AK36" s="227">
        <f t="shared" si="85"/>
        <v>0</v>
      </c>
      <c r="AL36" s="227">
        <f t="shared" si="85"/>
        <v>0</v>
      </c>
      <c r="AM36" s="227">
        <f t="shared" si="85"/>
        <v>0</v>
      </c>
      <c r="AN36" s="227">
        <f t="shared" si="85"/>
        <v>0</v>
      </c>
      <c r="AO36" s="227">
        <f t="shared" si="85"/>
        <v>0</v>
      </c>
      <c r="AP36" s="227">
        <f t="shared" si="85"/>
        <v>0</v>
      </c>
      <c r="AQ36" s="227">
        <f t="shared" si="85"/>
        <v>0</v>
      </c>
      <c r="AR36" s="228">
        <f t="shared" si="85"/>
        <v>0</v>
      </c>
      <c r="AS36" s="187">
        <f>SUM(AS14:AS35)</f>
        <v>10.74</v>
      </c>
      <c r="AT36" s="194">
        <f>SUM(AT14:AT35)</f>
        <v>0</v>
      </c>
      <c r="AU36" s="194">
        <f t="shared" ref="AU36:BA36" si="86">SUM(AU14:AU35)</f>
        <v>27.4</v>
      </c>
      <c r="AV36" s="194">
        <f t="shared" si="86"/>
        <v>100.02000000000001</v>
      </c>
      <c r="AW36" s="194">
        <f t="shared" si="86"/>
        <v>33.47</v>
      </c>
      <c r="AX36" s="194">
        <f t="shared" si="86"/>
        <v>15.35</v>
      </c>
      <c r="AY36" s="194">
        <f t="shared" si="86"/>
        <v>8.43</v>
      </c>
      <c r="AZ36" s="194">
        <f t="shared" si="86"/>
        <v>0</v>
      </c>
      <c r="BA36" s="194">
        <f t="shared" si="86"/>
        <v>0</v>
      </c>
      <c r="BB36" s="195">
        <f>SUM(BB14:BB35)</f>
        <v>0</v>
      </c>
      <c r="BC36" s="223">
        <f>SUM(BC14:BC35)</f>
        <v>191.47</v>
      </c>
      <c r="BD36" s="224">
        <f>SUM(BD14:BD35)</f>
        <v>568.34</v>
      </c>
      <c r="BE36" s="224">
        <f t="shared" ref="BE36:BG36" si="87">SUM(BE14:BE35)</f>
        <v>156.10000000000002</v>
      </c>
      <c r="BF36" s="224">
        <f t="shared" si="87"/>
        <v>834.4000000000002</v>
      </c>
      <c r="BG36" s="224">
        <f t="shared" si="87"/>
        <v>9.0860000000000003</v>
      </c>
      <c r="BH36" s="225"/>
      <c r="BI36" s="123"/>
      <c r="BK36" s="125">
        <f t="shared" si="11"/>
        <v>0</v>
      </c>
      <c r="BL36" s="125"/>
      <c r="BR36" s="246">
        <v>0.2</v>
      </c>
      <c r="BS36" s="246" t="s">
        <v>132</v>
      </c>
      <c r="BT36" s="246">
        <v>0.2</v>
      </c>
    </row>
    <row r="37" spans="1:72" s="81" customFormat="1" ht="6" customHeight="1" thickBot="1">
      <c r="C37" s="127"/>
      <c r="D37" s="128"/>
      <c r="E37" s="129"/>
      <c r="F37" s="129"/>
      <c r="G37" s="129"/>
      <c r="H37" s="130"/>
      <c r="I37" s="131"/>
      <c r="J37" s="132"/>
      <c r="K37" s="131"/>
      <c r="L37" s="133"/>
      <c r="M37" s="134"/>
      <c r="N37" s="128"/>
      <c r="O37" s="130"/>
      <c r="P37" s="240"/>
      <c r="Q37" s="240"/>
      <c r="R37" s="131"/>
      <c r="S37" s="132"/>
      <c r="T37" s="131"/>
      <c r="U37" s="132"/>
      <c r="V37" s="131"/>
      <c r="W37" s="133"/>
      <c r="X37" s="191"/>
      <c r="Y37" s="146"/>
      <c r="Z37" s="137"/>
      <c r="AA37" s="137"/>
      <c r="AB37" s="137"/>
      <c r="AC37" s="137"/>
      <c r="AD37" s="137"/>
      <c r="AE37" s="137"/>
      <c r="AF37" s="137"/>
      <c r="AG37" s="137"/>
      <c r="AH37" s="138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46"/>
      <c r="AT37" s="137"/>
      <c r="AU37" s="137"/>
      <c r="AV37" s="137"/>
      <c r="AW37" s="137"/>
      <c r="AX37" s="137"/>
      <c r="AY37" s="137"/>
      <c r="AZ37" s="137"/>
      <c r="BA37" s="137"/>
      <c r="BB37" s="138"/>
      <c r="BC37" s="146">
        <f>+IF(N37="SP",L37,0)</f>
        <v>0</v>
      </c>
      <c r="BD37" s="233"/>
      <c r="BE37" s="233"/>
      <c r="BF37" s="233"/>
      <c r="BG37" s="233"/>
      <c r="BH37" s="138"/>
      <c r="BI37" s="123"/>
      <c r="BK37" s="125"/>
      <c r="BL37" s="125"/>
    </row>
    <row r="38" spans="1:72" s="81" customFormat="1" ht="12" hidden="1" customHeight="1" thickBot="1">
      <c r="C38" s="150"/>
      <c r="D38" s="151"/>
      <c r="E38" s="151"/>
      <c r="F38" s="151"/>
      <c r="G38" s="151"/>
      <c r="H38" s="151"/>
      <c r="I38" s="125"/>
      <c r="J38" s="152"/>
      <c r="K38" s="153"/>
      <c r="L38" s="153"/>
      <c r="M38" s="154"/>
      <c r="N38" s="151"/>
      <c r="O38" s="151"/>
      <c r="P38" s="151"/>
      <c r="Q38" s="151"/>
      <c r="R38" s="125"/>
      <c r="S38" s="152"/>
      <c r="T38" s="125"/>
      <c r="U38" s="152"/>
      <c r="V38" s="159" t="s">
        <v>171</v>
      </c>
      <c r="W38" s="125"/>
      <c r="X38" s="125"/>
      <c r="Y38" s="123" t="e">
        <f>+#REF!*1.5</f>
        <v>#REF!</v>
      </c>
      <c r="Z38" s="123"/>
      <c r="AA38" s="123"/>
      <c r="AB38" s="123" t="e">
        <f>+#REF!*1.5</f>
        <v>#REF!</v>
      </c>
      <c r="AC38" s="123" t="e">
        <f>+#REF!*1.5</f>
        <v>#REF!</v>
      </c>
      <c r="AD38" s="123" t="e">
        <f>+#REF!*1.5</f>
        <v>#REF!</v>
      </c>
      <c r="AE38" s="123" t="e">
        <f>+#REF!*1.5</f>
        <v>#REF!</v>
      </c>
      <c r="AF38" s="123" t="e">
        <f>+#REF!*1.5</f>
        <v>#REF!</v>
      </c>
      <c r="AG38" s="123" t="e">
        <f>+#REF!*1.5</f>
        <v>#REF!</v>
      </c>
      <c r="AH38" s="123" t="e">
        <f>+#REF!*1.5</f>
        <v>#REF!</v>
      </c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57"/>
      <c r="BD38" s="234"/>
      <c r="BE38" s="234"/>
      <c r="BF38" s="234"/>
      <c r="BG38" s="234"/>
      <c r="BH38" s="158"/>
      <c r="BI38" s="123"/>
      <c r="BK38" s="125"/>
      <c r="BL38" s="125"/>
    </row>
    <row r="39" spans="1:72" ht="15.75" customHeight="1" thickBot="1">
      <c r="C39" s="67"/>
      <c r="D39" s="67"/>
      <c r="E39" s="67"/>
      <c r="F39" s="67"/>
      <c r="G39" s="67"/>
      <c r="H39" s="67"/>
      <c r="I39" s="76"/>
      <c r="J39" s="76"/>
      <c r="K39" s="69"/>
      <c r="L39" s="149"/>
      <c r="M39" s="69"/>
      <c r="N39" s="69"/>
      <c r="O39" s="69"/>
      <c r="P39" s="69"/>
      <c r="Q39" s="67"/>
      <c r="R39" s="69"/>
      <c r="S39" s="69"/>
      <c r="T39" s="69"/>
      <c r="U39" s="69"/>
      <c r="V39" s="69"/>
      <c r="W39" s="69"/>
      <c r="X39" s="149"/>
      <c r="Y39" s="744">
        <f>SUM(Y36:AH36)</f>
        <v>1047.32</v>
      </c>
      <c r="Z39" s="745"/>
      <c r="AA39" s="745"/>
      <c r="AB39" s="745"/>
      <c r="AC39" s="745"/>
      <c r="AD39" s="745"/>
      <c r="AE39" s="745"/>
      <c r="AF39" s="745"/>
      <c r="AG39" s="745"/>
      <c r="AH39" s="746"/>
      <c r="AI39" s="744">
        <f>SUM(AI36:AR36)</f>
        <v>0</v>
      </c>
      <c r="AJ39" s="745"/>
      <c r="AK39" s="745"/>
      <c r="AL39" s="745"/>
      <c r="AM39" s="745"/>
      <c r="AN39" s="745"/>
      <c r="AO39" s="745"/>
      <c r="AP39" s="745"/>
      <c r="AQ39" s="745"/>
      <c r="AR39" s="746"/>
      <c r="AS39" s="744">
        <f>SUM(AS36:BB36)</f>
        <v>195.41000000000003</v>
      </c>
      <c r="AT39" s="745"/>
      <c r="AU39" s="745"/>
      <c r="AV39" s="745"/>
      <c r="AW39" s="745"/>
      <c r="AX39" s="745"/>
      <c r="AY39" s="745"/>
      <c r="AZ39" s="745"/>
      <c r="BA39" s="745"/>
      <c r="BB39" s="746"/>
      <c r="BC39" s="229"/>
      <c r="BD39" s="229"/>
      <c r="BE39" s="229"/>
      <c r="BF39" s="229"/>
      <c r="BG39" s="229"/>
      <c r="BH39" s="229"/>
      <c r="BI39" s="77"/>
      <c r="BK39" s="77"/>
      <c r="BL39" s="77"/>
    </row>
    <row r="40" spans="1:72" ht="7.5" customHeight="1">
      <c r="K40" s="69"/>
      <c r="L40" s="69"/>
      <c r="M40" s="69"/>
      <c r="N40" s="69"/>
      <c r="O40" s="69"/>
      <c r="P40" s="69"/>
      <c r="U40" s="69"/>
      <c r="V40" s="67"/>
      <c r="W40" s="67"/>
      <c r="X40" s="67"/>
    </row>
    <row r="41" spans="1:72" ht="28.5" customHeight="1">
      <c r="F41" s="288" t="s">
        <v>225</v>
      </c>
      <c r="G41" s="292"/>
      <c r="H41" s="292"/>
      <c r="I41" s="290"/>
      <c r="K41" s="290" t="s">
        <v>227</v>
      </c>
      <c r="L41" s="290" t="s">
        <v>229</v>
      </c>
      <c r="M41" s="290" t="s">
        <v>239</v>
      </c>
      <c r="N41" s="290" t="s">
        <v>226</v>
      </c>
      <c r="O41" s="291" t="s">
        <v>2</v>
      </c>
      <c r="P41" s="749" t="s">
        <v>228</v>
      </c>
      <c r="Q41" s="749"/>
      <c r="U41" s="69"/>
      <c r="V41" s="67"/>
      <c r="W41" s="67"/>
      <c r="X41" s="67"/>
    </row>
    <row r="42" spans="1:72">
      <c r="F42" s="293" t="s">
        <v>232</v>
      </c>
      <c r="G42" s="295"/>
      <c r="H42" s="295"/>
      <c r="I42" s="296"/>
      <c r="J42" s="295"/>
      <c r="K42" s="295"/>
      <c r="L42" s="296"/>
      <c r="M42" s="298"/>
      <c r="N42" s="295"/>
      <c r="O42" s="295" t="s">
        <v>133</v>
      </c>
      <c r="P42" s="369">
        <f>SUM(P43:Q45)</f>
        <v>870.88000000000022</v>
      </c>
      <c r="Q42" s="369"/>
      <c r="S42" s="729" t="s">
        <v>676</v>
      </c>
      <c r="T42" s="729"/>
      <c r="U42" s="729"/>
      <c r="BD42" s="241"/>
    </row>
    <row r="43" spans="1:72" ht="12.75" customHeight="1">
      <c r="G43" s="247" t="s">
        <v>210</v>
      </c>
      <c r="I43" s="285"/>
      <c r="K43" s="70">
        <v>1</v>
      </c>
      <c r="L43" s="285">
        <v>0.6</v>
      </c>
      <c r="M43" s="285">
        <v>2.6</v>
      </c>
      <c r="N43" s="285">
        <v>2</v>
      </c>
      <c r="O43" s="285"/>
      <c r="P43" s="69">
        <f>+K43*(M43+2*L43)*(N43+2*L43)</f>
        <v>12.16</v>
      </c>
      <c r="Q43" s="69"/>
      <c r="S43" s="377" t="s">
        <v>1041</v>
      </c>
      <c r="T43" s="377" t="s">
        <v>1044</v>
      </c>
      <c r="U43" s="378">
        <v>1</v>
      </c>
    </row>
    <row r="44" spans="1:72">
      <c r="G44" s="247" t="s">
        <v>212</v>
      </c>
      <c r="I44" s="285"/>
      <c r="K44" s="70">
        <v>2</v>
      </c>
      <c r="L44" s="285">
        <v>0.6</v>
      </c>
      <c r="M44" s="285">
        <v>2.6</v>
      </c>
      <c r="N44" s="285">
        <v>2</v>
      </c>
      <c r="O44" s="285"/>
      <c r="P44" s="69">
        <f>+K44*(M44+2*L44)*(N44+2*L44)</f>
        <v>24.32</v>
      </c>
      <c r="Q44" s="69"/>
      <c r="S44" s="377" t="s">
        <v>1042</v>
      </c>
      <c r="T44" s="377" t="s">
        <v>1045</v>
      </c>
      <c r="U44" s="378">
        <v>1</v>
      </c>
    </row>
    <row r="45" spans="1:72">
      <c r="G45" s="247" t="s">
        <v>261</v>
      </c>
      <c r="I45" s="70"/>
      <c r="K45" s="70">
        <v>1</v>
      </c>
      <c r="L45" s="285"/>
      <c r="M45" s="285">
        <f>+BF36</f>
        <v>834.4000000000002</v>
      </c>
      <c r="N45" s="285"/>
      <c r="O45" s="285"/>
      <c r="P45" s="69">
        <f>+PRODUCT(K45:O45)</f>
        <v>834.4000000000002</v>
      </c>
      <c r="Q45" s="69"/>
      <c r="S45" s="377"/>
      <c r="T45" s="377"/>
      <c r="U45" s="378"/>
    </row>
    <row r="47" spans="1:72">
      <c r="F47" s="293" t="s">
        <v>233</v>
      </c>
      <c r="G47" s="295"/>
      <c r="H47" s="295"/>
      <c r="I47" s="296"/>
      <c r="J47" s="295"/>
      <c r="K47" s="295"/>
      <c r="L47" s="296"/>
      <c r="M47" s="296"/>
      <c r="N47" s="296"/>
      <c r="O47" s="296" t="s">
        <v>163</v>
      </c>
      <c r="P47" s="369">
        <v>2</v>
      </c>
      <c r="Q47" s="369"/>
      <c r="S47" s="729" t="s">
        <v>1057</v>
      </c>
      <c r="T47" s="729"/>
      <c r="U47" s="729"/>
    </row>
    <row r="48" spans="1:72">
      <c r="G48" s="247" t="s">
        <v>272</v>
      </c>
      <c r="I48" s="70"/>
      <c r="K48" s="70">
        <v>2</v>
      </c>
      <c r="L48" s="285"/>
      <c r="M48" s="285">
        <v>1.1000000000000001</v>
      </c>
      <c r="N48" s="285"/>
      <c r="O48" s="285"/>
      <c r="P48" s="69">
        <f>+PRODUCT(K48:O48)</f>
        <v>2.2000000000000002</v>
      </c>
      <c r="Q48" s="69"/>
      <c r="S48" s="377" t="s">
        <v>1066</v>
      </c>
      <c r="T48" s="377" t="s">
        <v>1063</v>
      </c>
      <c r="U48" s="378">
        <v>1</v>
      </c>
    </row>
    <row r="49" spans="6:21">
      <c r="F49" s="67"/>
      <c r="G49" s="247"/>
      <c r="H49" s="285"/>
      <c r="I49" s="70"/>
      <c r="K49" s="70"/>
      <c r="L49" s="285"/>
      <c r="M49" s="285"/>
      <c r="N49" s="285"/>
      <c r="O49" s="285"/>
      <c r="P49" s="69">
        <f>+PRODUCT(K49:O49)</f>
        <v>0</v>
      </c>
      <c r="Q49" s="69"/>
      <c r="S49" s="377" t="s">
        <v>1066</v>
      </c>
      <c r="T49" s="377" t="s">
        <v>1064</v>
      </c>
      <c r="U49" s="378">
        <v>1</v>
      </c>
    </row>
    <row r="50" spans="6:21">
      <c r="F50" s="293" t="s">
        <v>236</v>
      </c>
      <c r="G50" s="295"/>
      <c r="H50" s="295"/>
      <c r="I50" s="296"/>
      <c r="J50" s="295"/>
      <c r="K50" s="295"/>
      <c r="L50" s="296"/>
      <c r="M50" s="296"/>
      <c r="N50" s="296"/>
      <c r="O50" s="296" t="s">
        <v>161</v>
      </c>
      <c r="P50" s="369">
        <f>SUM(P51:Q53)</f>
        <v>6</v>
      </c>
      <c r="Q50" s="369"/>
      <c r="S50" s="377" t="s">
        <v>1067</v>
      </c>
      <c r="T50" s="377" t="s">
        <v>1065</v>
      </c>
      <c r="U50" s="378">
        <v>1</v>
      </c>
    </row>
    <row r="51" spans="6:21">
      <c r="G51" s="247" t="s">
        <v>273</v>
      </c>
      <c r="I51" s="70"/>
      <c r="K51" s="70">
        <v>2</v>
      </c>
      <c r="L51" s="285"/>
      <c r="M51" s="285">
        <v>2</v>
      </c>
      <c r="N51" s="285"/>
      <c r="O51" s="285"/>
      <c r="P51" s="69">
        <f>+PRODUCT(K51:O51)</f>
        <v>4</v>
      </c>
      <c r="Q51" s="69"/>
      <c r="S51" s="377" t="s">
        <v>1149</v>
      </c>
      <c r="T51" s="377"/>
      <c r="U51" s="556">
        <f>+U54+U56</f>
        <v>15</v>
      </c>
    </row>
    <row r="52" spans="6:21">
      <c r="G52" s="247" t="s">
        <v>274</v>
      </c>
      <c r="I52" s="70"/>
      <c r="K52" s="70">
        <v>1</v>
      </c>
      <c r="L52" s="285"/>
      <c r="M52" s="285">
        <v>2</v>
      </c>
      <c r="N52" s="285"/>
      <c r="O52" s="285"/>
      <c r="P52" s="69">
        <f>+PRODUCT(K52:O52)</f>
        <v>2</v>
      </c>
      <c r="Q52" s="69"/>
      <c r="S52" s="357"/>
      <c r="T52" s="357"/>
      <c r="U52" s="357"/>
    </row>
    <row r="53" spans="6:21">
      <c r="G53" s="247"/>
      <c r="I53" s="70"/>
      <c r="K53" s="70"/>
      <c r="L53" s="285"/>
      <c r="M53" s="285"/>
      <c r="N53" s="285"/>
      <c r="O53" s="285"/>
      <c r="P53" s="69">
        <f>+PRODUCT(K53:O53)</f>
        <v>0</v>
      </c>
      <c r="Q53" s="69"/>
      <c r="S53" s="557" t="s">
        <v>1156</v>
      </c>
      <c r="T53" s="377"/>
      <c r="U53" s="378"/>
    </row>
    <row r="54" spans="6:21">
      <c r="F54" s="293" t="s">
        <v>257</v>
      </c>
      <c r="G54" s="295"/>
      <c r="H54" s="295"/>
      <c r="I54" s="296"/>
      <c r="J54" s="295"/>
      <c r="K54" s="295"/>
      <c r="L54" s="296"/>
      <c r="M54" s="296"/>
      <c r="N54" s="296"/>
      <c r="O54" s="296" t="s">
        <v>133</v>
      </c>
      <c r="P54" s="369">
        <f>SUM(P55:Q57)</f>
        <v>9.0860000000000003</v>
      </c>
      <c r="Q54" s="369"/>
      <c r="S54" s="558" t="s">
        <v>1152</v>
      </c>
      <c r="T54" s="559">
        <v>46.57</v>
      </c>
      <c r="U54" s="559">
        <f>+ROUND(T54/6,0)</f>
        <v>8</v>
      </c>
    </row>
    <row r="55" spans="6:21">
      <c r="G55" s="247" t="s">
        <v>275</v>
      </c>
      <c r="I55" s="70"/>
      <c r="K55" s="70">
        <v>1</v>
      </c>
      <c r="L55" s="285"/>
      <c r="M55" s="285">
        <f>+BG36</f>
        <v>9.0860000000000003</v>
      </c>
      <c r="N55" s="285"/>
      <c r="O55" s="285"/>
      <c r="P55" s="69">
        <f>+PRODUCT(K55:O55)</f>
        <v>9.0860000000000003</v>
      </c>
      <c r="Q55" s="69"/>
      <c r="S55" s="557" t="s">
        <v>1157</v>
      </c>
      <c r="T55" s="80"/>
      <c r="U55" s="357"/>
    </row>
    <row r="56" spans="6:21">
      <c r="I56" s="70"/>
      <c r="K56" s="285"/>
      <c r="L56" s="285"/>
      <c r="M56" s="285"/>
      <c r="N56" s="285"/>
      <c r="O56" s="285"/>
      <c r="P56" s="758">
        <f t="shared" ref="P56:P57" si="88">+PRODUCT(J56:O56)</f>
        <v>0</v>
      </c>
      <c r="Q56" s="758"/>
      <c r="S56" s="558" t="s">
        <v>1152</v>
      </c>
      <c r="T56" s="559">
        <v>39.590000000000003</v>
      </c>
      <c r="U56" s="559">
        <f>+ROUND(T56/6,0)</f>
        <v>7</v>
      </c>
    </row>
    <row r="57" spans="6:21">
      <c r="I57" s="70"/>
      <c r="K57" s="285"/>
      <c r="L57" s="285"/>
      <c r="M57" s="285"/>
      <c r="N57" s="285"/>
      <c r="O57" s="285"/>
      <c r="P57" s="758">
        <f t="shared" si="88"/>
        <v>0</v>
      </c>
      <c r="Q57" s="758"/>
    </row>
  </sheetData>
  <customSheetViews>
    <customSheetView guid="{E3668F7A-83C2-45EF-92AE-FEC5F071E70A}" showPageBreaks="1" showGridLines="0" zeroValues="0" fitToPage="1" printArea="1" hiddenRows="1" hiddenColumns="1" view="pageBreakPreview" topLeftCell="A5">
      <selection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8" orientation="landscape" horizontalDpi="4294967294" r:id="rId1"/>
    </customSheetView>
  </customSheetViews>
  <mergeCells count="22">
    <mergeCell ref="C3:BI3"/>
    <mergeCell ref="C10:X10"/>
    <mergeCell ref="Y10:AH10"/>
    <mergeCell ref="AI10:AR10"/>
    <mergeCell ref="AS10:BB10"/>
    <mergeCell ref="BF10:BG10"/>
    <mergeCell ref="BL10:BL12"/>
    <mergeCell ref="D11:E11"/>
    <mergeCell ref="F11:H11"/>
    <mergeCell ref="I11:J11"/>
    <mergeCell ref="R11:S11"/>
    <mergeCell ref="T11:U11"/>
    <mergeCell ref="C14:C36"/>
    <mergeCell ref="Y39:AH39"/>
    <mergeCell ref="AI39:AR39"/>
    <mergeCell ref="AS39:BB39"/>
    <mergeCell ref="BK10:BK12"/>
    <mergeCell ref="S42:U42"/>
    <mergeCell ref="S47:U47"/>
    <mergeCell ref="P56:Q56"/>
    <mergeCell ref="P57:Q57"/>
    <mergeCell ref="P41:Q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2" orientation="landscape" horizontalDpi="4294967294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73"/>
  <sheetViews>
    <sheetView showGridLines="0" showZeros="0" view="pageBreakPreview" zoomScaleNormal="100" zoomScaleSheetLayoutView="100" workbookViewId="0">
      <pane xSplit="10" ySplit="12" topLeftCell="R41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8.33203125" style="70" customWidth="1"/>
    <col min="17" max="17" width="4.88671875" style="70" customWidth="1"/>
    <col min="18" max="18" width="9.44140625" style="78" customWidth="1"/>
    <col min="19" max="19" width="14.3320312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1.1093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30" t="s">
        <v>269</v>
      </c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0"/>
      <c r="V3" s="730"/>
      <c r="W3" s="730"/>
      <c r="X3" s="730"/>
      <c r="Y3" s="730"/>
      <c r="Z3" s="730"/>
      <c r="AA3" s="730"/>
      <c r="AB3" s="730"/>
      <c r="AC3" s="730"/>
      <c r="AD3" s="730"/>
      <c r="AE3" s="730"/>
      <c r="AF3" s="730"/>
      <c r="AG3" s="730"/>
      <c r="AH3" s="730"/>
      <c r="AI3" s="730"/>
      <c r="AJ3" s="730"/>
      <c r="AK3" s="730"/>
      <c r="AL3" s="730"/>
      <c r="AM3" s="730"/>
      <c r="AN3" s="730"/>
      <c r="AO3" s="730"/>
      <c r="AP3" s="730"/>
      <c r="AQ3" s="730"/>
      <c r="AR3" s="730"/>
      <c r="AS3" s="730"/>
      <c r="AT3" s="730"/>
      <c r="AU3" s="730"/>
      <c r="AV3" s="730"/>
      <c r="AW3" s="730"/>
      <c r="AX3" s="730"/>
      <c r="AY3" s="730"/>
      <c r="AZ3" s="730"/>
      <c r="BA3" s="730"/>
      <c r="BB3" s="730"/>
      <c r="BC3" s="730"/>
      <c r="BD3" s="730"/>
      <c r="BE3" s="730"/>
      <c r="BF3" s="730"/>
      <c r="BG3" s="730"/>
      <c r="BH3" s="730"/>
      <c r="BI3" s="730"/>
      <c r="BJ3" s="730"/>
    </row>
    <row r="4" spans="1:72" ht="23.25" customHeight="1">
      <c r="C4" s="64" t="str">
        <f>+'RESUMEN GENERAL BASE'!C4</f>
        <v>Obra</v>
      </c>
      <c r="E4" s="6"/>
      <c r="F4" s="56" t="s">
        <v>324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80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1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N6" s="51"/>
      <c r="O6" s="62"/>
      <c r="P6" s="62"/>
      <c r="Q6" s="62"/>
      <c r="R6" s="62"/>
      <c r="S6" s="62"/>
      <c r="T6" s="281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N7" s="51"/>
      <c r="O7" s="62"/>
      <c r="P7" s="62"/>
      <c r="Q7" s="62"/>
      <c r="R7" s="62"/>
      <c r="S7" s="62"/>
      <c r="T7" s="281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2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6"/>
      <c r="J9" s="71"/>
      <c r="K9" s="71"/>
      <c r="L9" s="74"/>
      <c r="M9" s="72"/>
      <c r="N9" s="71"/>
      <c r="O9" s="71"/>
      <c r="P9" s="71"/>
      <c r="Q9" s="71"/>
      <c r="R9" s="176"/>
      <c r="S9" s="278"/>
      <c r="T9" s="278"/>
      <c r="U9" s="278"/>
      <c r="V9" s="75"/>
      <c r="W9" s="71"/>
      <c r="X9" s="71"/>
      <c r="Y9" s="174"/>
      <c r="Z9" s="174"/>
      <c r="AA9" s="174"/>
      <c r="AB9" s="174"/>
      <c r="AC9" s="174"/>
      <c r="AD9" s="174"/>
      <c r="AE9" s="174"/>
      <c r="AF9" s="174"/>
      <c r="AG9" s="174"/>
    </row>
    <row r="10" spans="1:72" s="81" customFormat="1" ht="12.75" customHeight="1">
      <c r="C10" s="731" t="s">
        <v>145</v>
      </c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2"/>
      <c r="O10" s="732"/>
      <c r="P10" s="732"/>
      <c r="Q10" s="732"/>
      <c r="R10" s="732"/>
      <c r="S10" s="732"/>
      <c r="T10" s="732"/>
      <c r="U10" s="732"/>
      <c r="V10" s="732"/>
      <c r="W10" s="732"/>
      <c r="X10" s="733"/>
      <c r="Y10" s="734" t="s">
        <v>138</v>
      </c>
      <c r="Z10" s="735"/>
      <c r="AA10" s="735"/>
      <c r="AB10" s="735"/>
      <c r="AC10" s="735"/>
      <c r="AD10" s="735"/>
      <c r="AE10" s="735"/>
      <c r="AF10" s="735"/>
      <c r="AG10" s="735"/>
      <c r="AH10" s="736"/>
      <c r="AI10" s="737" t="s">
        <v>180</v>
      </c>
      <c r="AJ10" s="738"/>
      <c r="AK10" s="738"/>
      <c r="AL10" s="738"/>
      <c r="AM10" s="738"/>
      <c r="AN10" s="738"/>
      <c r="AO10" s="738"/>
      <c r="AP10" s="738"/>
      <c r="AQ10" s="738"/>
      <c r="AR10" s="739"/>
      <c r="AS10" s="740" t="s">
        <v>181</v>
      </c>
      <c r="AT10" s="741"/>
      <c r="AU10" s="741"/>
      <c r="AV10" s="741"/>
      <c r="AW10" s="741"/>
      <c r="AX10" s="741"/>
      <c r="AY10" s="741"/>
      <c r="AZ10" s="741"/>
      <c r="BA10" s="741"/>
      <c r="BB10" s="742"/>
      <c r="BC10" s="205" t="s">
        <v>182</v>
      </c>
      <c r="BD10" s="252" t="s">
        <v>199</v>
      </c>
      <c r="BE10" s="243" t="s">
        <v>202</v>
      </c>
      <c r="BF10" s="743" t="s">
        <v>1</v>
      </c>
      <c r="BG10" s="743"/>
      <c r="BH10" s="743"/>
      <c r="BI10" s="253"/>
      <c r="BJ10" s="82"/>
      <c r="BL10" s="750" t="s">
        <v>136</v>
      </c>
      <c r="BM10" s="750" t="s">
        <v>137</v>
      </c>
    </row>
    <row r="11" spans="1:72" s="81" customFormat="1" ht="15" customHeight="1">
      <c r="C11" s="201" t="s">
        <v>143</v>
      </c>
      <c r="D11" s="753" t="s">
        <v>139</v>
      </c>
      <c r="E11" s="754"/>
      <c r="F11" s="754" t="s">
        <v>144</v>
      </c>
      <c r="G11" s="754"/>
      <c r="H11" s="755"/>
      <c r="I11" s="753" t="s">
        <v>135</v>
      </c>
      <c r="J11" s="755"/>
      <c r="K11" s="87" t="s">
        <v>140</v>
      </c>
      <c r="L11" s="88" t="s">
        <v>140</v>
      </c>
      <c r="M11" s="89" t="s">
        <v>141</v>
      </c>
      <c r="N11" s="249" t="s">
        <v>134</v>
      </c>
      <c r="O11" s="250" t="s">
        <v>134</v>
      </c>
      <c r="P11" s="235" t="s">
        <v>206</v>
      </c>
      <c r="Q11" s="235" t="s">
        <v>207</v>
      </c>
      <c r="R11" s="760" t="s">
        <v>178</v>
      </c>
      <c r="S11" s="761"/>
      <c r="T11" s="760" t="s">
        <v>179</v>
      </c>
      <c r="U11" s="761"/>
      <c r="V11" s="93" t="s">
        <v>142</v>
      </c>
      <c r="W11" s="94" t="s">
        <v>142</v>
      </c>
      <c r="X11" s="95" t="s">
        <v>142</v>
      </c>
      <c r="Y11" s="213">
        <v>0.61</v>
      </c>
      <c r="Z11" s="214">
        <v>1.01</v>
      </c>
      <c r="AA11" s="214">
        <v>1.26</v>
      </c>
      <c r="AB11" s="214">
        <v>1.51</v>
      </c>
      <c r="AC11" s="214">
        <f t="shared" ref="AC11:AG11" si="0">+AB12+0.01</f>
        <v>1.76</v>
      </c>
      <c r="AD11" s="214">
        <f t="shared" si="0"/>
        <v>2.0099999999999998</v>
      </c>
      <c r="AE11" s="214">
        <f t="shared" si="0"/>
        <v>2.5099999999999998</v>
      </c>
      <c r="AF11" s="214">
        <f t="shared" si="0"/>
        <v>3.01</v>
      </c>
      <c r="AG11" s="214">
        <f t="shared" si="0"/>
        <v>3.51</v>
      </c>
      <c r="AH11" s="215">
        <f>+AG12+0.01</f>
        <v>4.01</v>
      </c>
      <c r="AI11" s="206">
        <v>0.61</v>
      </c>
      <c r="AJ11" s="207">
        <v>1.01</v>
      </c>
      <c r="AK11" s="207">
        <v>1.26</v>
      </c>
      <c r="AL11" s="207">
        <v>1.51</v>
      </c>
      <c r="AM11" s="207">
        <f t="shared" ref="AM11:AQ11" si="1">+AL12+0.01</f>
        <v>1.76</v>
      </c>
      <c r="AN11" s="207">
        <f t="shared" si="1"/>
        <v>2.0099999999999998</v>
      </c>
      <c r="AO11" s="207">
        <f t="shared" si="1"/>
        <v>2.5099999999999998</v>
      </c>
      <c r="AP11" s="207">
        <f t="shared" si="1"/>
        <v>3.01</v>
      </c>
      <c r="AQ11" s="207">
        <f t="shared" si="1"/>
        <v>3.51</v>
      </c>
      <c r="AR11" s="208">
        <f>+AQ12+0.01</f>
        <v>4.01</v>
      </c>
      <c r="AS11" s="199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4" t="s">
        <v>183</v>
      </c>
      <c r="BD11" s="230" t="s">
        <v>200</v>
      </c>
      <c r="BE11" s="244" t="s">
        <v>203</v>
      </c>
      <c r="BF11" s="265"/>
      <c r="BG11" s="269"/>
      <c r="BH11" s="266"/>
      <c r="BI11" s="251"/>
      <c r="BJ11" s="82"/>
      <c r="BL11" s="751"/>
      <c r="BM11" s="751"/>
    </row>
    <row r="12" spans="1:72" s="81" customFormat="1" ht="15.75" customHeight="1" thickBot="1">
      <c r="C12" s="202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7" t="s">
        <v>148</v>
      </c>
      <c r="J12" s="86" t="s">
        <v>149</v>
      </c>
      <c r="K12" s="90" t="s">
        <v>146</v>
      </c>
      <c r="L12" s="91" t="s">
        <v>147</v>
      </c>
      <c r="M12" s="92" t="s">
        <v>215</v>
      </c>
      <c r="N12" s="84" t="s">
        <v>221</v>
      </c>
      <c r="O12" s="86" t="s">
        <v>152</v>
      </c>
      <c r="P12" s="236" t="s">
        <v>213</v>
      </c>
      <c r="Q12" s="236" t="s">
        <v>214</v>
      </c>
      <c r="R12" s="177" t="s">
        <v>153</v>
      </c>
      <c r="S12" s="96" t="s">
        <v>154</v>
      </c>
      <c r="T12" s="177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6">
        <v>1</v>
      </c>
      <c r="Z12" s="217">
        <v>1.25</v>
      </c>
      <c r="AA12" s="217">
        <v>1.5</v>
      </c>
      <c r="AB12" s="217">
        <v>1.75</v>
      </c>
      <c r="AC12" s="218">
        <v>2</v>
      </c>
      <c r="AD12" s="218">
        <v>2.5</v>
      </c>
      <c r="AE12" s="218">
        <v>3</v>
      </c>
      <c r="AF12" s="218">
        <v>3.5</v>
      </c>
      <c r="AG12" s="218">
        <v>4</v>
      </c>
      <c r="AH12" s="219">
        <v>4.5</v>
      </c>
      <c r="AI12" s="209">
        <v>1</v>
      </c>
      <c r="AJ12" s="210">
        <v>1.25</v>
      </c>
      <c r="AK12" s="210">
        <v>1.5</v>
      </c>
      <c r="AL12" s="210">
        <v>1.75</v>
      </c>
      <c r="AM12" s="211">
        <v>2</v>
      </c>
      <c r="AN12" s="211">
        <v>2.5</v>
      </c>
      <c r="AO12" s="211">
        <v>3</v>
      </c>
      <c r="AP12" s="211">
        <v>3.5</v>
      </c>
      <c r="AQ12" s="211">
        <v>4</v>
      </c>
      <c r="AR12" s="212">
        <v>4.5</v>
      </c>
      <c r="AS12" s="200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184</v>
      </c>
      <c r="BD12" s="231" t="s">
        <v>201</v>
      </c>
      <c r="BE12" s="245" t="s">
        <v>204</v>
      </c>
      <c r="BF12" s="242" t="s">
        <v>218</v>
      </c>
      <c r="BG12" s="242" t="s">
        <v>262</v>
      </c>
      <c r="BH12" s="242" t="s">
        <v>219</v>
      </c>
      <c r="BI12" s="148"/>
      <c r="BJ12" s="83"/>
      <c r="BL12" s="752"/>
      <c r="BM12" s="752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7"/>
      <c r="Q13" s="237"/>
      <c r="R13" s="108"/>
      <c r="S13" s="279"/>
      <c r="T13" s="108"/>
      <c r="U13" s="279"/>
      <c r="V13" s="108"/>
      <c r="W13" s="109"/>
      <c r="X13" s="188"/>
      <c r="Y13" s="193"/>
      <c r="Z13" s="100"/>
      <c r="AA13" s="100"/>
      <c r="AB13" s="100"/>
      <c r="AC13" s="110"/>
      <c r="AD13" s="110"/>
      <c r="AE13" s="110"/>
      <c r="AF13" s="110"/>
      <c r="AG13" s="110"/>
      <c r="AH13" s="111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2"/>
      <c r="BE13" s="232"/>
      <c r="BF13" s="232"/>
      <c r="BG13" s="232"/>
      <c r="BH13" s="232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47" t="s">
        <v>220</v>
      </c>
      <c r="D14" s="113"/>
      <c r="E14" s="114"/>
      <c r="F14" s="114">
        <v>150</v>
      </c>
      <c r="G14" s="114" t="s">
        <v>196</v>
      </c>
      <c r="H14" s="115" t="s">
        <v>197</v>
      </c>
      <c r="I14" s="268">
        <v>9.9999999999999995E-8</v>
      </c>
      <c r="J14" s="264">
        <f>+I14+K14</f>
        <v>155.5600001</v>
      </c>
      <c r="K14" s="267">
        <v>155.56</v>
      </c>
      <c r="L14" s="118">
        <f>+ROUND(K14*SQRT((M14/100)^2+1),2)</f>
        <v>155.56</v>
      </c>
      <c r="M14" s="116">
        <v>0</v>
      </c>
      <c r="N14" s="113" t="s">
        <v>216</v>
      </c>
      <c r="O14" s="115" t="s">
        <v>3</v>
      </c>
      <c r="P14" s="238">
        <f t="shared" ref="P14:P37" si="3">+IF(O14="N",IF(X14&gt;1.75,"E",0),0)</f>
        <v>0</v>
      </c>
      <c r="Q14" s="238"/>
      <c r="R14" s="267">
        <v>261.5</v>
      </c>
      <c r="S14" s="116">
        <v>261.81</v>
      </c>
      <c r="T14" s="267">
        <v>260.20999999999998</v>
      </c>
      <c r="U14" s="264">
        <f t="shared" ref="U14:U23" si="4">+T14+K14*M14/100</f>
        <v>260.20999999999998</v>
      </c>
      <c r="V14" s="117">
        <f t="shared" ref="V14:W14" si="5">IF((R14-T14)&lt;0,0,R14-T14)</f>
        <v>1.2900000000000205</v>
      </c>
      <c r="W14" s="118">
        <f t="shared" si="5"/>
        <v>1.6000000000000227</v>
      </c>
      <c r="X14" s="189">
        <f t="shared" ref="X14:X37" si="6">ROUND(AVERAGE(V14:W14),2)</f>
        <v>1.45</v>
      </c>
      <c r="Y14" s="145">
        <f t="shared" ref="Y14:AH24" si="7">+IF($O14="N",IF($X14&gt;=Y$11,IF($X14&lt;=Y$12,$L14,0),0),0)</f>
        <v>0</v>
      </c>
      <c r="Z14" s="121">
        <f t="shared" si="7"/>
        <v>0</v>
      </c>
      <c r="AA14" s="121">
        <f t="shared" si="7"/>
        <v>155.56</v>
      </c>
      <c r="AB14" s="121">
        <f t="shared" si="7"/>
        <v>0</v>
      </c>
      <c r="AC14" s="121">
        <f t="shared" si="7"/>
        <v>0</v>
      </c>
      <c r="AD14" s="121">
        <f t="shared" si="7"/>
        <v>0</v>
      </c>
      <c r="AE14" s="121">
        <f t="shared" si="7"/>
        <v>0</v>
      </c>
      <c r="AF14" s="121">
        <f t="shared" si="7"/>
        <v>0</v>
      </c>
      <c r="AG14" s="121">
        <f t="shared" si="7"/>
        <v>0</v>
      </c>
      <c r="AH14" s="122">
        <f t="shared" si="7"/>
        <v>0</v>
      </c>
      <c r="AI14" s="145">
        <f t="shared" ref="AI14:AR24" si="8">+IF($O14="SR",IF($X14&gt;=AI$11,IF($X14&lt;=AI$12,$L14,0),0),0)</f>
        <v>0</v>
      </c>
      <c r="AJ14" s="121">
        <f t="shared" si="8"/>
        <v>0</v>
      </c>
      <c r="AK14" s="121">
        <f t="shared" si="8"/>
        <v>0</v>
      </c>
      <c r="AL14" s="121">
        <f t="shared" si="8"/>
        <v>0</v>
      </c>
      <c r="AM14" s="121">
        <f t="shared" si="8"/>
        <v>0</v>
      </c>
      <c r="AN14" s="121">
        <f t="shared" si="8"/>
        <v>0</v>
      </c>
      <c r="AO14" s="121">
        <f t="shared" si="8"/>
        <v>0</v>
      </c>
      <c r="AP14" s="121">
        <f t="shared" si="8"/>
        <v>0</v>
      </c>
      <c r="AQ14" s="121">
        <f t="shared" si="8"/>
        <v>0</v>
      </c>
      <c r="AR14" s="122">
        <f t="shared" si="8"/>
        <v>0</v>
      </c>
      <c r="AS14" s="145">
        <f t="shared" ref="AS14:BB24" si="9">+IF($O14="R",IF($X14&gt;=AS$11,IF($X14&lt;=AS$12,$L14,0),0),0)</f>
        <v>0</v>
      </c>
      <c r="AT14" s="121">
        <f t="shared" si="9"/>
        <v>0</v>
      </c>
      <c r="AU14" s="121">
        <f t="shared" si="9"/>
        <v>0</v>
      </c>
      <c r="AV14" s="121">
        <f t="shared" si="9"/>
        <v>0</v>
      </c>
      <c r="AW14" s="121">
        <f t="shared" si="9"/>
        <v>0</v>
      </c>
      <c r="AX14" s="121">
        <f t="shared" si="9"/>
        <v>0</v>
      </c>
      <c r="AY14" s="121">
        <f t="shared" si="9"/>
        <v>0</v>
      </c>
      <c r="AZ14" s="121">
        <f t="shared" si="9"/>
        <v>0</v>
      </c>
      <c r="BA14" s="121">
        <f t="shared" si="9"/>
        <v>0</v>
      </c>
      <c r="BB14" s="122">
        <f t="shared" si="9"/>
        <v>0</v>
      </c>
      <c r="BC14" s="145">
        <f>+L14</f>
        <v>155.56</v>
      </c>
      <c r="BD14" s="192">
        <f>+IF(P14="E",L14,0)</f>
        <v>0</v>
      </c>
      <c r="BE14" s="192">
        <f>+IF(Q14="A",L14,0)</f>
        <v>0</v>
      </c>
      <c r="BF14" s="192">
        <f t="shared" ref="BF14:BF37" si="10">+IF($N14=BF$12,$L14*(MAX($F14/1000+0.6,0.8)),0)</f>
        <v>0</v>
      </c>
      <c r="BG14" s="192">
        <f>+IF($N14=BG$12,$L14,0)</f>
        <v>0</v>
      </c>
      <c r="BH14" s="192">
        <f>+IF($N14=BH$12,$L14*($F14/1000+1.7),0)</f>
        <v>0</v>
      </c>
      <c r="BI14" s="122"/>
      <c r="BJ14" s="123"/>
      <c r="BL14" s="125">
        <f t="shared" ref="BL14:BL38" si="11">+IF(N14="AF",L14,0)</f>
        <v>0</v>
      </c>
      <c r="BM14" s="125"/>
      <c r="BT14" s="124" t="s">
        <v>209</v>
      </c>
    </row>
    <row r="15" spans="1:72" s="81" customFormat="1" ht="16.5" customHeight="1">
      <c r="A15" s="124" t="str">
        <f t="shared" ref="A15:A37" si="12">+IF(SUM(Y15:BB15)&gt;0,"OK","NO")</f>
        <v>OK</v>
      </c>
      <c r="C15" s="748"/>
      <c r="D15" s="113"/>
      <c r="E15" s="114"/>
      <c r="F15" s="114">
        <f t="shared" ref="F15:H16" si="13">+F14</f>
        <v>150</v>
      </c>
      <c r="G15" s="263" t="str">
        <f t="shared" si="13"/>
        <v>HD</v>
      </c>
      <c r="H15" s="115" t="str">
        <f t="shared" si="13"/>
        <v>K-9</v>
      </c>
      <c r="I15" s="117">
        <f t="shared" ref="I15" si="14">J14</f>
        <v>155.5600001</v>
      </c>
      <c r="J15" s="264">
        <f>+I15+K15</f>
        <v>233.3400001</v>
      </c>
      <c r="K15" s="267">
        <v>77.78</v>
      </c>
      <c r="L15" s="118">
        <f t="shared" ref="L15:L37" si="15">+ROUND(K15*SQRT((M15/100)^2+1),2)</f>
        <v>77.78</v>
      </c>
      <c r="M15" s="116">
        <v>0.78</v>
      </c>
      <c r="N15" s="113" t="str">
        <f>+N14</f>
        <v>SP</v>
      </c>
      <c r="O15" s="115" t="s">
        <v>3</v>
      </c>
      <c r="P15" s="238">
        <f t="shared" si="3"/>
        <v>0</v>
      </c>
      <c r="Q15" s="238"/>
      <c r="R15" s="117">
        <f t="shared" ref="R15" si="16">S14</f>
        <v>261.81</v>
      </c>
      <c r="S15" s="116">
        <v>262.44</v>
      </c>
      <c r="T15" s="117">
        <f t="shared" ref="T15" si="17">U14</f>
        <v>260.20999999999998</v>
      </c>
      <c r="U15" s="264">
        <f t="shared" si="4"/>
        <v>260.81668399999995</v>
      </c>
      <c r="V15" s="117">
        <f t="shared" ref="V15:V37" si="18">IF((R15-T15)&lt;0,0,R15-T15)</f>
        <v>1.6000000000000227</v>
      </c>
      <c r="W15" s="118">
        <f t="shared" ref="W15:W37" si="19">IF((S15-U15)&lt;0,0,S15-U15)</f>
        <v>1.6233160000000453</v>
      </c>
      <c r="X15" s="189">
        <f t="shared" si="6"/>
        <v>1.61</v>
      </c>
      <c r="Y15" s="145">
        <f t="shared" si="7"/>
        <v>0</v>
      </c>
      <c r="Z15" s="121">
        <f t="shared" si="7"/>
        <v>0</v>
      </c>
      <c r="AA15" s="121">
        <f t="shared" si="7"/>
        <v>0</v>
      </c>
      <c r="AB15" s="121">
        <f t="shared" si="7"/>
        <v>77.78</v>
      </c>
      <c r="AC15" s="121">
        <f t="shared" si="7"/>
        <v>0</v>
      </c>
      <c r="AD15" s="121">
        <f t="shared" si="7"/>
        <v>0</v>
      </c>
      <c r="AE15" s="121">
        <f t="shared" si="7"/>
        <v>0</v>
      </c>
      <c r="AF15" s="121">
        <f t="shared" si="7"/>
        <v>0</v>
      </c>
      <c r="AG15" s="121">
        <f t="shared" si="7"/>
        <v>0</v>
      </c>
      <c r="AH15" s="122">
        <f t="shared" si="7"/>
        <v>0</v>
      </c>
      <c r="AI15" s="145">
        <f t="shared" si="8"/>
        <v>0</v>
      </c>
      <c r="AJ15" s="121">
        <f t="shared" si="8"/>
        <v>0</v>
      </c>
      <c r="AK15" s="121">
        <f t="shared" si="8"/>
        <v>0</v>
      </c>
      <c r="AL15" s="121">
        <f t="shared" si="8"/>
        <v>0</v>
      </c>
      <c r="AM15" s="121">
        <f t="shared" si="8"/>
        <v>0</v>
      </c>
      <c r="AN15" s="121">
        <f t="shared" si="8"/>
        <v>0</v>
      </c>
      <c r="AO15" s="121">
        <f t="shared" si="8"/>
        <v>0</v>
      </c>
      <c r="AP15" s="121">
        <f t="shared" si="8"/>
        <v>0</v>
      </c>
      <c r="AQ15" s="121">
        <f t="shared" si="8"/>
        <v>0</v>
      </c>
      <c r="AR15" s="122">
        <f t="shared" si="8"/>
        <v>0</v>
      </c>
      <c r="AS15" s="145">
        <f t="shared" si="9"/>
        <v>0</v>
      </c>
      <c r="AT15" s="121">
        <f t="shared" si="9"/>
        <v>0</v>
      </c>
      <c r="AU15" s="121">
        <f t="shared" si="9"/>
        <v>0</v>
      </c>
      <c r="AV15" s="121">
        <f t="shared" si="9"/>
        <v>0</v>
      </c>
      <c r="AW15" s="121">
        <f t="shared" si="9"/>
        <v>0</v>
      </c>
      <c r="AX15" s="121">
        <f t="shared" si="9"/>
        <v>0</v>
      </c>
      <c r="AY15" s="121">
        <f t="shared" si="9"/>
        <v>0</v>
      </c>
      <c r="AZ15" s="121">
        <f t="shared" si="9"/>
        <v>0</v>
      </c>
      <c r="BA15" s="121">
        <f t="shared" si="9"/>
        <v>0</v>
      </c>
      <c r="BB15" s="122">
        <f t="shared" si="9"/>
        <v>0</v>
      </c>
      <c r="BC15" s="145">
        <f>+IF(N15="SP",L15,0)</f>
        <v>77.78</v>
      </c>
      <c r="BD15" s="192">
        <f t="shared" ref="BD15:BD37" si="20">+IF(P15="E",L15,0)</f>
        <v>0</v>
      </c>
      <c r="BE15" s="192">
        <f t="shared" ref="BE15:BE37" si="21">+IF(Q15="A",L15,0)</f>
        <v>0</v>
      </c>
      <c r="BF15" s="192">
        <f t="shared" si="10"/>
        <v>0</v>
      </c>
      <c r="BG15" s="192">
        <f t="shared" ref="BG15:BG37" si="22">+IF($N15=BG$12,$L15,0)</f>
        <v>0</v>
      </c>
      <c r="BH15" s="192">
        <f t="shared" ref="BH15:BH37" si="23">+IF($N15=BH$12,$L15*($F15/1000+1.7),0)</f>
        <v>0</v>
      </c>
      <c r="BI15" s="122"/>
      <c r="BJ15" s="123"/>
      <c r="BL15" s="125">
        <f t="shared" si="11"/>
        <v>0</v>
      </c>
      <c r="BM15" s="125">
        <f t="shared" ref="BM15:BM37" si="24">+IF(O15="SP",K15,0)</f>
        <v>0</v>
      </c>
    </row>
    <row r="16" spans="1:72" s="81" customFormat="1" ht="16.5" customHeight="1">
      <c r="A16" s="124" t="str">
        <f t="shared" si="12"/>
        <v>OK</v>
      </c>
      <c r="C16" s="748"/>
      <c r="D16" s="113"/>
      <c r="E16" s="114"/>
      <c r="F16" s="114">
        <f t="shared" si="13"/>
        <v>150</v>
      </c>
      <c r="G16" s="263" t="str">
        <f t="shared" si="13"/>
        <v>HD</v>
      </c>
      <c r="H16" s="115" t="str">
        <f t="shared" si="13"/>
        <v>K-9</v>
      </c>
      <c r="I16" s="117">
        <f t="shared" ref="I16:I27" si="25">J15</f>
        <v>233.3400001</v>
      </c>
      <c r="J16" s="264">
        <f>+I16+K16</f>
        <v>238.89000010000001</v>
      </c>
      <c r="K16" s="267">
        <f>83.33-K15</f>
        <v>5.5499999999999972</v>
      </c>
      <c r="L16" s="118">
        <f t="shared" si="15"/>
        <v>5.55</v>
      </c>
      <c r="M16" s="116">
        <v>0.78</v>
      </c>
      <c r="N16" s="113" t="s">
        <v>218</v>
      </c>
      <c r="O16" s="115" t="s">
        <v>3</v>
      </c>
      <c r="P16" s="238" t="str">
        <f t="shared" si="3"/>
        <v>E</v>
      </c>
      <c r="Q16" s="238"/>
      <c r="R16" s="117">
        <f t="shared" ref="R16:R26" si="26">S15</f>
        <v>262.44</v>
      </c>
      <c r="S16" s="116">
        <v>263.52</v>
      </c>
      <c r="T16" s="117">
        <f t="shared" ref="T16:T23" si="27">U15</f>
        <v>260.81668399999995</v>
      </c>
      <c r="U16" s="264">
        <f t="shared" si="4"/>
        <v>260.85997399999997</v>
      </c>
      <c r="V16" s="117">
        <f t="shared" si="18"/>
        <v>1.6233160000000453</v>
      </c>
      <c r="W16" s="118">
        <f t="shared" si="19"/>
        <v>2.6600260000000162</v>
      </c>
      <c r="X16" s="189">
        <f t="shared" ref="X16" si="28">ROUND(AVERAGE(V16:W16),2)</f>
        <v>2.14</v>
      </c>
      <c r="Y16" s="145">
        <f t="shared" si="7"/>
        <v>0</v>
      </c>
      <c r="Z16" s="121">
        <f t="shared" si="7"/>
        <v>0</v>
      </c>
      <c r="AA16" s="121">
        <f t="shared" si="7"/>
        <v>0</v>
      </c>
      <c r="AB16" s="121">
        <f t="shared" si="7"/>
        <v>0</v>
      </c>
      <c r="AC16" s="121">
        <f t="shared" si="7"/>
        <v>0</v>
      </c>
      <c r="AD16" s="121">
        <f t="shared" si="7"/>
        <v>5.55</v>
      </c>
      <c r="AE16" s="121">
        <f t="shared" si="7"/>
        <v>0</v>
      </c>
      <c r="AF16" s="121">
        <f t="shared" si="7"/>
        <v>0</v>
      </c>
      <c r="AG16" s="121">
        <f t="shared" si="7"/>
        <v>0</v>
      </c>
      <c r="AH16" s="122">
        <f t="shared" si="7"/>
        <v>0</v>
      </c>
      <c r="AI16" s="145">
        <f t="shared" si="8"/>
        <v>0</v>
      </c>
      <c r="AJ16" s="121">
        <f t="shared" si="8"/>
        <v>0</v>
      </c>
      <c r="AK16" s="121">
        <f t="shared" si="8"/>
        <v>0</v>
      </c>
      <c r="AL16" s="121">
        <f t="shared" si="8"/>
        <v>0</v>
      </c>
      <c r="AM16" s="121">
        <f t="shared" si="8"/>
        <v>0</v>
      </c>
      <c r="AN16" s="121">
        <f t="shared" si="8"/>
        <v>0</v>
      </c>
      <c r="AO16" s="121">
        <f t="shared" si="8"/>
        <v>0</v>
      </c>
      <c r="AP16" s="121">
        <f t="shared" si="8"/>
        <v>0</v>
      </c>
      <c r="AQ16" s="121">
        <f t="shared" si="8"/>
        <v>0</v>
      </c>
      <c r="AR16" s="122">
        <f t="shared" si="8"/>
        <v>0</v>
      </c>
      <c r="AS16" s="145">
        <f t="shared" si="9"/>
        <v>0</v>
      </c>
      <c r="AT16" s="121">
        <f t="shared" si="9"/>
        <v>0</v>
      </c>
      <c r="AU16" s="121">
        <f t="shared" si="9"/>
        <v>0</v>
      </c>
      <c r="AV16" s="121">
        <f t="shared" si="9"/>
        <v>0</v>
      </c>
      <c r="AW16" s="121">
        <f t="shared" si="9"/>
        <v>0</v>
      </c>
      <c r="AX16" s="121">
        <f t="shared" si="9"/>
        <v>0</v>
      </c>
      <c r="AY16" s="121">
        <f t="shared" si="9"/>
        <v>0</v>
      </c>
      <c r="AZ16" s="121">
        <f t="shared" si="9"/>
        <v>0</v>
      </c>
      <c r="BA16" s="121">
        <f t="shared" si="9"/>
        <v>0</v>
      </c>
      <c r="BB16" s="122">
        <f t="shared" si="9"/>
        <v>0</v>
      </c>
      <c r="BC16" s="145">
        <f>+IF(N16="SP",L16,0)</f>
        <v>0</v>
      </c>
      <c r="BD16" s="192">
        <f t="shared" ref="BD16" si="29">+IF(P16="E",L16,0)</f>
        <v>5.55</v>
      </c>
      <c r="BE16" s="192">
        <f t="shared" ref="BE16" si="30">+IF(Q16="A",L16,0)</f>
        <v>0</v>
      </c>
      <c r="BF16" s="192">
        <f t="shared" si="10"/>
        <v>4.4400000000000004</v>
      </c>
      <c r="BG16" s="192">
        <f t="shared" si="22"/>
        <v>0</v>
      </c>
      <c r="BH16" s="192">
        <f t="shared" si="23"/>
        <v>0</v>
      </c>
      <c r="BI16" s="122"/>
      <c r="BJ16" s="123"/>
      <c r="BL16" s="125">
        <f t="shared" ref="BL16" si="31">+IF(N16="AF",L16,0)</f>
        <v>5.55</v>
      </c>
      <c r="BM16" s="125">
        <f t="shared" ref="BM16" si="32">+IF(O16="SP",K16,0)</f>
        <v>0</v>
      </c>
    </row>
    <row r="17" spans="1:74" s="81" customFormat="1" ht="16.5" customHeight="1">
      <c r="A17" s="124" t="str">
        <f t="shared" si="12"/>
        <v>OK</v>
      </c>
      <c r="C17" s="748"/>
      <c r="D17" s="113"/>
      <c r="E17" s="114"/>
      <c r="F17" s="114">
        <f t="shared" ref="F17:F37" si="33">+F16</f>
        <v>150</v>
      </c>
      <c r="G17" s="263" t="str">
        <f t="shared" ref="G17:G37" si="34">+G16</f>
        <v>HD</v>
      </c>
      <c r="H17" s="115" t="str">
        <f t="shared" ref="H17:H37" si="35">+H16</f>
        <v>K-9</v>
      </c>
      <c r="I17" s="117">
        <f t="shared" si="25"/>
        <v>238.89000010000001</v>
      </c>
      <c r="J17" s="264">
        <f t="shared" ref="J17:J37" si="36">+I17+K17</f>
        <v>285.89000010000001</v>
      </c>
      <c r="K17" s="267">
        <f>47.07-0.07</f>
        <v>47</v>
      </c>
      <c r="L17" s="118">
        <f t="shared" si="15"/>
        <v>47.02</v>
      </c>
      <c r="M17" s="116">
        <v>3.19</v>
      </c>
      <c r="N17" s="113" t="str">
        <f t="shared" ref="N17:N37" si="37">+N16</f>
        <v>AF</v>
      </c>
      <c r="O17" s="115" t="s">
        <v>3</v>
      </c>
      <c r="P17" s="238" t="str">
        <f t="shared" si="3"/>
        <v>E</v>
      </c>
      <c r="Q17" s="238"/>
      <c r="R17" s="117">
        <f t="shared" si="26"/>
        <v>263.52</v>
      </c>
      <c r="S17" s="116">
        <v>263.83999999999997</v>
      </c>
      <c r="T17" s="117">
        <f t="shared" si="27"/>
        <v>260.85997399999997</v>
      </c>
      <c r="U17" s="264">
        <f t="shared" si="4"/>
        <v>262.35927399999997</v>
      </c>
      <c r="V17" s="117">
        <f t="shared" si="18"/>
        <v>2.6600260000000162</v>
      </c>
      <c r="W17" s="118">
        <f t="shared" si="19"/>
        <v>1.4807260000000042</v>
      </c>
      <c r="X17" s="189">
        <f t="shared" si="6"/>
        <v>2.0699999999999998</v>
      </c>
      <c r="Y17" s="145">
        <f t="shared" si="7"/>
        <v>0</v>
      </c>
      <c r="Z17" s="121">
        <f t="shared" si="7"/>
        <v>0</v>
      </c>
      <c r="AA17" s="121">
        <f t="shared" si="7"/>
        <v>0</v>
      </c>
      <c r="AB17" s="121">
        <f t="shared" si="7"/>
        <v>0</v>
      </c>
      <c r="AC17" s="121">
        <f t="shared" si="7"/>
        <v>0</v>
      </c>
      <c r="AD17" s="121">
        <f t="shared" si="7"/>
        <v>47.02</v>
      </c>
      <c r="AE17" s="121">
        <f t="shared" si="7"/>
        <v>0</v>
      </c>
      <c r="AF17" s="121">
        <f t="shared" si="7"/>
        <v>0</v>
      </c>
      <c r="AG17" s="121">
        <f t="shared" si="7"/>
        <v>0</v>
      </c>
      <c r="AH17" s="122">
        <f t="shared" si="7"/>
        <v>0</v>
      </c>
      <c r="AI17" s="145">
        <f t="shared" si="8"/>
        <v>0</v>
      </c>
      <c r="AJ17" s="121">
        <f t="shared" si="8"/>
        <v>0</v>
      </c>
      <c r="AK17" s="121">
        <f t="shared" si="8"/>
        <v>0</v>
      </c>
      <c r="AL17" s="121">
        <f t="shared" si="8"/>
        <v>0</v>
      </c>
      <c r="AM17" s="121">
        <f t="shared" si="8"/>
        <v>0</v>
      </c>
      <c r="AN17" s="121">
        <f t="shared" si="8"/>
        <v>0</v>
      </c>
      <c r="AO17" s="121">
        <f t="shared" si="8"/>
        <v>0</v>
      </c>
      <c r="AP17" s="121">
        <f t="shared" si="8"/>
        <v>0</v>
      </c>
      <c r="AQ17" s="121">
        <f t="shared" si="8"/>
        <v>0</v>
      </c>
      <c r="AR17" s="122">
        <f t="shared" si="8"/>
        <v>0</v>
      </c>
      <c r="AS17" s="145">
        <f t="shared" si="9"/>
        <v>0</v>
      </c>
      <c r="AT17" s="121">
        <f t="shared" si="9"/>
        <v>0</v>
      </c>
      <c r="AU17" s="121">
        <f t="shared" si="9"/>
        <v>0</v>
      </c>
      <c r="AV17" s="121">
        <f t="shared" si="9"/>
        <v>0</v>
      </c>
      <c r="AW17" s="121">
        <f t="shared" si="9"/>
        <v>0</v>
      </c>
      <c r="AX17" s="121">
        <f t="shared" si="9"/>
        <v>0</v>
      </c>
      <c r="AY17" s="121">
        <f t="shared" si="9"/>
        <v>0</v>
      </c>
      <c r="AZ17" s="121">
        <f t="shared" si="9"/>
        <v>0</v>
      </c>
      <c r="BA17" s="121">
        <f t="shared" si="9"/>
        <v>0</v>
      </c>
      <c r="BB17" s="122">
        <f t="shared" si="9"/>
        <v>0</v>
      </c>
      <c r="BC17" s="145">
        <f>+IF(N17="SP",L17,0)</f>
        <v>0</v>
      </c>
      <c r="BD17" s="192">
        <f t="shared" si="20"/>
        <v>47.02</v>
      </c>
      <c r="BE17" s="192">
        <f t="shared" si="21"/>
        <v>0</v>
      </c>
      <c r="BF17" s="192">
        <f t="shared" si="10"/>
        <v>37.616000000000007</v>
      </c>
      <c r="BG17" s="192">
        <f t="shared" si="22"/>
        <v>0</v>
      </c>
      <c r="BH17" s="192">
        <f t="shared" si="23"/>
        <v>0</v>
      </c>
      <c r="BI17" s="122"/>
      <c r="BJ17" s="123"/>
      <c r="BL17" s="125">
        <f t="shared" si="11"/>
        <v>47.02</v>
      </c>
      <c r="BM17" s="125">
        <f t="shared" si="24"/>
        <v>0</v>
      </c>
      <c r="BR17" s="81">
        <v>0.1</v>
      </c>
      <c r="BT17" s="81" t="s">
        <v>208</v>
      </c>
      <c r="BV17" s="81">
        <v>0.1</v>
      </c>
    </row>
    <row r="18" spans="1:74" s="81" customFormat="1" ht="16.5" customHeight="1">
      <c r="A18" s="124" t="str">
        <f t="shared" si="12"/>
        <v>OK</v>
      </c>
      <c r="C18" s="748"/>
      <c r="D18" s="113"/>
      <c r="E18" s="114"/>
      <c r="F18" s="114">
        <f t="shared" si="33"/>
        <v>150</v>
      </c>
      <c r="G18" s="263" t="str">
        <f t="shared" si="34"/>
        <v>HD</v>
      </c>
      <c r="H18" s="115" t="str">
        <f t="shared" si="35"/>
        <v>K-9</v>
      </c>
      <c r="I18" s="117">
        <f t="shared" si="25"/>
        <v>285.89000010000001</v>
      </c>
      <c r="J18" s="264">
        <f t="shared" si="36"/>
        <v>341.86000009999998</v>
      </c>
      <c r="K18" s="267">
        <v>55.97</v>
      </c>
      <c r="L18" s="118">
        <f t="shared" si="15"/>
        <v>55.98</v>
      </c>
      <c r="M18" s="116">
        <v>1.42</v>
      </c>
      <c r="N18" s="113" t="str">
        <f t="shared" si="37"/>
        <v>AF</v>
      </c>
      <c r="O18" s="115" t="s">
        <v>3</v>
      </c>
      <c r="P18" s="238">
        <f t="shared" si="3"/>
        <v>0</v>
      </c>
      <c r="Q18" s="238"/>
      <c r="R18" s="117">
        <f t="shared" si="26"/>
        <v>263.83999999999997</v>
      </c>
      <c r="S18" s="116">
        <v>264.98</v>
      </c>
      <c r="T18" s="117">
        <f t="shared" si="27"/>
        <v>262.35927399999997</v>
      </c>
      <c r="U18" s="264">
        <f t="shared" si="4"/>
        <v>263.15404799999999</v>
      </c>
      <c r="V18" s="117">
        <f t="shared" si="18"/>
        <v>1.4807260000000042</v>
      </c>
      <c r="W18" s="118">
        <f t="shared" si="19"/>
        <v>1.8259520000000293</v>
      </c>
      <c r="X18" s="189">
        <f t="shared" si="6"/>
        <v>1.65</v>
      </c>
      <c r="Y18" s="145">
        <f t="shared" si="7"/>
        <v>0</v>
      </c>
      <c r="Z18" s="121">
        <f t="shared" si="7"/>
        <v>0</v>
      </c>
      <c r="AA18" s="121">
        <f t="shared" si="7"/>
        <v>0</v>
      </c>
      <c r="AB18" s="121">
        <f t="shared" si="7"/>
        <v>55.98</v>
      </c>
      <c r="AC18" s="121">
        <f t="shared" si="7"/>
        <v>0</v>
      </c>
      <c r="AD18" s="121">
        <f t="shared" si="7"/>
        <v>0</v>
      </c>
      <c r="AE18" s="121">
        <f t="shared" si="7"/>
        <v>0</v>
      </c>
      <c r="AF18" s="121">
        <f t="shared" si="7"/>
        <v>0</v>
      </c>
      <c r="AG18" s="121">
        <f t="shared" si="7"/>
        <v>0</v>
      </c>
      <c r="AH18" s="122">
        <f t="shared" si="7"/>
        <v>0</v>
      </c>
      <c r="AI18" s="145">
        <f t="shared" si="8"/>
        <v>0</v>
      </c>
      <c r="AJ18" s="121">
        <f t="shared" si="8"/>
        <v>0</v>
      </c>
      <c r="AK18" s="121">
        <f t="shared" si="8"/>
        <v>0</v>
      </c>
      <c r="AL18" s="121">
        <f t="shared" si="8"/>
        <v>0</v>
      </c>
      <c r="AM18" s="121">
        <f t="shared" si="8"/>
        <v>0</v>
      </c>
      <c r="AN18" s="121">
        <f t="shared" si="8"/>
        <v>0</v>
      </c>
      <c r="AO18" s="121">
        <f t="shared" si="8"/>
        <v>0</v>
      </c>
      <c r="AP18" s="121">
        <f t="shared" si="8"/>
        <v>0</v>
      </c>
      <c r="AQ18" s="121">
        <f t="shared" si="8"/>
        <v>0</v>
      </c>
      <c r="AR18" s="122">
        <f t="shared" si="8"/>
        <v>0</v>
      </c>
      <c r="AS18" s="145">
        <f t="shared" si="9"/>
        <v>0</v>
      </c>
      <c r="AT18" s="121">
        <f t="shared" si="9"/>
        <v>0</v>
      </c>
      <c r="AU18" s="121">
        <f t="shared" si="9"/>
        <v>0</v>
      </c>
      <c r="AV18" s="121">
        <f t="shared" si="9"/>
        <v>0</v>
      </c>
      <c r="AW18" s="121">
        <f t="shared" si="9"/>
        <v>0</v>
      </c>
      <c r="AX18" s="121">
        <f t="shared" si="9"/>
        <v>0</v>
      </c>
      <c r="AY18" s="121">
        <f t="shared" si="9"/>
        <v>0</v>
      </c>
      <c r="AZ18" s="121">
        <f t="shared" si="9"/>
        <v>0</v>
      </c>
      <c r="BA18" s="121">
        <f t="shared" si="9"/>
        <v>0</v>
      </c>
      <c r="BB18" s="122">
        <f t="shared" si="9"/>
        <v>0</v>
      </c>
      <c r="BC18" s="145">
        <f>+IF(N18="SP",L18,0)</f>
        <v>0</v>
      </c>
      <c r="BD18" s="192">
        <f t="shared" si="20"/>
        <v>0</v>
      </c>
      <c r="BE18" s="192">
        <f t="shared" si="21"/>
        <v>0</v>
      </c>
      <c r="BF18" s="192">
        <f t="shared" si="10"/>
        <v>44.783999999999999</v>
      </c>
      <c r="BG18" s="192">
        <f t="shared" si="22"/>
        <v>0</v>
      </c>
      <c r="BH18" s="192">
        <f t="shared" si="23"/>
        <v>0</v>
      </c>
      <c r="BI18" s="122"/>
      <c r="BJ18" s="123"/>
      <c r="BL18" s="125">
        <f t="shared" si="11"/>
        <v>55.98</v>
      </c>
      <c r="BM18" s="125">
        <f t="shared" si="24"/>
        <v>0</v>
      </c>
    </row>
    <row r="19" spans="1:74" s="81" customFormat="1" ht="16.5" customHeight="1">
      <c r="A19" s="124" t="str">
        <f t="shared" si="12"/>
        <v>OK</v>
      </c>
      <c r="C19" s="748"/>
      <c r="D19" s="113"/>
      <c r="E19" s="114"/>
      <c r="F19" s="114">
        <f t="shared" si="33"/>
        <v>150</v>
      </c>
      <c r="G19" s="263" t="str">
        <f t="shared" si="34"/>
        <v>HD</v>
      </c>
      <c r="H19" s="115" t="str">
        <f t="shared" si="35"/>
        <v>K-9</v>
      </c>
      <c r="I19" s="117">
        <f t="shared" si="25"/>
        <v>341.86000009999998</v>
      </c>
      <c r="J19" s="264">
        <f t="shared" si="36"/>
        <v>438.11000009999998</v>
      </c>
      <c r="K19" s="267">
        <v>96.25</v>
      </c>
      <c r="L19" s="118">
        <f t="shared" si="15"/>
        <v>96.26</v>
      </c>
      <c r="M19" s="116">
        <v>1.0900000000000001</v>
      </c>
      <c r="N19" s="113" t="str">
        <f t="shared" si="37"/>
        <v>AF</v>
      </c>
      <c r="O19" s="115" t="s">
        <v>3</v>
      </c>
      <c r="P19" s="238">
        <f t="shared" si="3"/>
        <v>0</v>
      </c>
      <c r="Q19" s="238"/>
      <c r="R19" s="117">
        <f t="shared" si="26"/>
        <v>264.98</v>
      </c>
      <c r="S19" s="116">
        <v>265.55</v>
      </c>
      <c r="T19" s="117">
        <f t="shared" si="27"/>
        <v>263.15404799999999</v>
      </c>
      <c r="U19" s="264">
        <f t="shared" si="4"/>
        <v>264.20317299999999</v>
      </c>
      <c r="V19" s="117">
        <f t="shared" si="18"/>
        <v>1.8259520000000293</v>
      </c>
      <c r="W19" s="118">
        <f t="shared" si="19"/>
        <v>1.3468270000000189</v>
      </c>
      <c r="X19" s="189">
        <f t="shared" si="6"/>
        <v>1.59</v>
      </c>
      <c r="Y19" s="145">
        <f t="shared" si="7"/>
        <v>0</v>
      </c>
      <c r="Z19" s="121">
        <f t="shared" si="7"/>
        <v>0</v>
      </c>
      <c r="AA19" s="121">
        <f t="shared" si="7"/>
        <v>0</v>
      </c>
      <c r="AB19" s="121">
        <f t="shared" si="7"/>
        <v>96.26</v>
      </c>
      <c r="AC19" s="121">
        <f t="shared" si="7"/>
        <v>0</v>
      </c>
      <c r="AD19" s="121">
        <f t="shared" si="7"/>
        <v>0</v>
      </c>
      <c r="AE19" s="121">
        <f t="shared" si="7"/>
        <v>0</v>
      </c>
      <c r="AF19" s="121">
        <f t="shared" si="7"/>
        <v>0</v>
      </c>
      <c r="AG19" s="121">
        <f t="shared" si="7"/>
        <v>0</v>
      </c>
      <c r="AH19" s="122">
        <f t="shared" si="7"/>
        <v>0</v>
      </c>
      <c r="AI19" s="145">
        <f t="shared" si="8"/>
        <v>0</v>
      </c>
      <c r="AJ19" s="121">
        <f t="shared" si="8"/>
        <v>0</v>
      </c>
      <c r="AK19" s="121">
        <f t="shared" si="8"/>
        <v>0</v>
      </c>
      <c r="AL19" s="121">
        <f t="shared" si="8"/>
        <v>0</v>
      </c>
      <c r="AM19" s="121">
        <f t="shared" si="8"/>
        <v>0</v>
      </c>
      <c r="AN19" s="121">
        <f t="shared" si="8"/>
        <v>0</v>
      </c>
      <c r="AO19" s="121">
        <f t="shared" si="8"/>
        <v>0</v>
      </c>
      <c r="AP19" s="121">
        <f t="shared" si="8"/>
        <v>0</v>
      </c>
      <c r="AQ19" s="121">
        <f t="shared" si="8"/>
        <v>0</v>
      </c>
      <c r="AR19" s="122">
        <f t="shared" si="8"/>
        <v>0</v>
      </c>
      <c r="AS19" s="145">
        <f t="shared" si="9"/>
        <v>0</v>
      </c>
      <c r="AT19" s="121">
        <f t="shared" si="9"/>
        <v>0</v>
      </c>
      <c r="AU19" s="121">
        <f t="shared" si="9"/>
        <v>0</v>
      </c>
      <c r="AV19" s="121">
        <f t="shared" si="9"/>
        <v>0</v>
      </c>
      <c r="AW19" s="121">
        <f t="shared" si="9"/>
        <v>0</v>
      </c>
      <c r="AX19" s="121">
        <f t="shared" si="9"/>
        <v>0</v>
      </c>
      <c r="AY19" s="121">
        <f t="shared" si="9"/>
        <v>0</v>
      </c>
      <c r="AZ19" s="121">
        <f t="shared" si="9"/>
        <v>0</v>
      </c>
      <c r="BA19" s="121">
        <f t="shared" si="9"/>
        <v>0</v>
      </c>
      <c r="BB19" s="122">
        <f t="shared" si="9"/>
        <v>0</v>
      </c>
      <c r="BC19" s="145">
        <f t="shared" ref="BC19:BC37" si="38">+IF(N19="SP",L19,0)</f>
        <v>0</v>
      </c>
      <c r="BD19" s="192">
        <f t="shared" si="20"/>
        <v>0</v>
      </c>
      <c r="BE19" s="192">
        <f t="shared" si="21"/>
        <v>0</v>
      </c>
      <c r="BF19" s="192">
        <f t="shared" si="10"/>
        <v>77.00800000000001</v>
      </c>
      <c r="BG19" s="192">
        <f t="shared" si="22"/>
        <v>0</v>
      </c>
      <c r="BH19" s="192">
        <f t="shared" si="23"/>
        <v>0</v>
      </c>
      <c r="BI19" s="122"/>
      <c r="BJ19" s="123"/>
      <c r="BL19" s="125">
        <f t="shared" si="11"/>
        <v>96.26</v>
      </c>
      <c r="BM19" s="125">
        <f t="shared" si="24"/>
        <v>0</v>
      </c>
    </row>
    <row r="20" spans="1:74" s="81" customFormat="1" ht="16.5" customHeight="1">
      <c r="A20" s="124" t="str">
        <f t="shared" si="12"/>
        <v>OK</v>
      </c>
      <c r="C20" s="748"/>
      <c r="D20" s="113"/>
      <c r="E20" s="114"/>
      <c r="F20" s="114">
        <f t="shared" si="33"/>
        <v>150</v>
      </c>
      <c r="G20" s="263" t="str">
        <f t="shared" si="34"/>
        <v>HD</v>
      </c>
      <c r="H20" s="115" t="str">
        <f t="shared" si="35"/>
        <v>K-9</v>
      </c>
      <c r="I20" s="117">
        <f t="shared" si="25"/>
        <v>438.11000009999998</v>
      </c>
      <c r="J20" s="264">
        <f t="shared" si="36"/>
        <v>588.61000009999998</v>
      </c>
      <c r="K20" s="267">
        <v>150.5</v>
      </c>
      <c r="L20" s="118">
        <f t="shared" si="15"/>
        <v>150.51</v>
      </c>
      <c r="M20" s="116">
        <v>-1.25</v>
      </c>
      <c r="N20" s="113" t="str">
        <f t="shared" si="37"/>
        <v>AF</v>
      </c>
      <c r="O20" s="115" t="s">
        <v>3</v>
      </c>
      <c r="P20" s="238">
        <f t="shared" si="3"/>
        <v>0</v>
      </c>
      <c r="Q20" s="238"/>
      <c r="R20" s="117">
        <f t="shared" si="26"/>
        <v>265.55</v>
      </c>
      <c r="S20" s="116">
        <v>264.20999999999998</v>
      </c>
      <c r="T20" s="117">
        <f t="shared" si="27"/>
        <v>264.20317299999999</v>
      </c>
      <c r="U20" s="264">
        <f t="shared" si="4"/>
        <v>262.32192299999997</v>
      </c>
      <c r="V20" s="117">
        <f t="shared" si="18"/>
        <v>1.3468270000000189</v>
      </c>
      <c r="W20" s="118">
        <f t="shared" si="19"/>
        <v>1.8880770000000098</v>
      </c>
      <c r="X20" s="189">
        <f t="shared" si="6"/>
        <v>1.62</v>
      </c>
      <c r="Y20" s="145">
        <f t="shared" si="7"/>
        <v>0</v>
      </c>
      <c r="Z20" s="121">
        <f t="shared" si="7"/>
        <v>0</v>
      </c>
      <c r="AA20" s="121">
        <f t="shared" si="7"/>
        <v>0</v>
      </c>
      <c r="AB20" s="121">
        <f t="shared" si="7"/>
        <v>150.51</v>
      </c>
      <c r="AC20" s="121">
        <f t="shared" si="7"/>
        <v>0</v>
      </c>
      <c r="AD20" s="121">
        <f t="shared" si="7"/>
        <v>0</v>
      </c>
      <c r="AE20" s="121">
        <f t="shared" si="7"/>
        <v>0</v>
      </c>
      <c r="AF20" s="121">
        <f t="shared" si="7"/>
        <v>0</v>
      </c>
      <c r="AG20" s="121">
        <f t="shared" si="7"/>
        <v>0</v>
      </c>
      <c r="AH20" s="122">
        <f t="shared" si="7"/>
        <v>0</v>
      </c>
      <c r="AI20" s="145">
        <f t="shared" si="8"/>
        <v>0</v>
      </c>
      <c r="AJ20" s="121">
        <f t="shared" si="8"/>
        <v>0</v>
      </c>
      <c r="AK20" s="121">
        <f t="shared" si="8"/>
        <v>0</v>
      </c>
      <c r="AL20" s="121">
        <f t="shared" si="8"/>
        <v>0</v>
      </c>
      <c r="AM20" s="121">
        <f t="shared" si="8"/>
        <v>0</v>
      </c>
      <c r="AN20" s="121">
        <f t="shared" si="8"/>
        <v>0</v>
      </c>
      <c r="AO20" s="121">
        <f t="shared" si="8"/>
        <v>0</v>
      </c>
      <c r="AP20" s="121">
        <f t="shared" si="8"/>
        <v>0</v>
      </c>
      <c r="AQ20" s="121">
        <f t="shared" si="8"/>
        <v>0</v>
      </c>
      <c r="AR20" s="122">
        <f t="shared" si="8"/>
        <v>0</v>
      </c>
      <c r="AS20" s="145">
        <f t="shared" si="9"/>
        <v>0</v>
      </c>
      <c r="AT20" s="121">
        <f t="shared" si="9"/>
        <v>0</v>
      </c>
      <c r="AU20" s="121">
        <f t="shared" si="9"/>
        <v>0</v>
      </c>
      <c r="AV20" s="121">
        <f t="shared" si="9"/>
        <v>0</v>
      </c>
      <c r="AW20" s="121">
        <f t="shared" si="9"/>
        <v>0</v>
      </c>
      <c r="AX20" s="121">
        <f t="shared" si="9"/>
        <v>0</v>
      </c>
      <c r="AY20" s="121">
        <f t="shared" si="9"/>
        <v>0</v>
      </c>
      <c r="AZ20" s="121">
        <f t="shared" si="9"/>
        <v>0</v>
      </c>
      <c r="BA20" s="121">
        <f t="shared" si="9"/>
        <v>0</v>
      </c>
      <c r="BB20" s="122">
        <f t="shared" si="9"/>
        <v>0</v>
      </c>
      <c r="BC20" s="145">
        <f t="shared" si="38"/>
        <v>0</v>
      </c>
      <c r="BD20" s="192">
        <f t="shared" si="20"/>
        <v>0</v>
      </c>
      <c r="BE20" s="192">
        <f t="shared" si="21"/>
        <v>0</v>
      </c>
      <c r="BF20" s="192">
        <f t="shared" si="10"/>
        <v>120.408</v>
      </c>
      <c r="BG20" s="192">
        <f t="shared" si="22"/>
        <v>0</v>
      </c>
      <c r="BH20" s="192">
        <f t="shared" si="23"/>
        <v>0</v>
      </c>
      <c r="BI20" s="122"/>
      <c r="BJ20" s="123"/>
      <c r="BL20" s="125">
        <f t="shared" si="11"/>
        <v>150.51</v>
      </c>
      <c r="BM20" s="125">
        <f t="shared" si="24"/>
        <v>0</v>
      </c>
    </row>
    <row r="21" spans="1:74" s="81" customFormat="1" ht="16.5" customHeight="1">
      <c r="A21" s="124" t="str">
        <f t="shared" si="12"/>
        <v>OK</v>
      </c>
      <c r="C21" s="748"/>
      <c r="D21" s="113"/>
      <c r="E21" s="114"/>
      <c r="F21" s="114">
        <f t="shared" si="33"/>
        <v>150</v>
      </c>
      <c r="G21" s="263" t="str">
        <f t="shared" si="34"/>
        <v>HD</v>
      </c>
      <c r="H21" s="115" t="str">
        <f t="shared" si="35"/>
        <v>K-9</v>
      </c>
      <c r="I21" s="117">
        <f t="shared" si="25"/>
        <v>588.61000009999998</v>
      </c>
      <c r="J21" s="264">
        <f t="shared" si="36"/>
        <v>679.41000009999993</v>
      </c>
      <c r="K21" s="267">
        <v>90.8</v>
      </c>
      <c r="L21" s="118">
        <f t="shared" si="15"/>
        <v>90.82</v>
      </c>
      <c r="M21" s="116">
        <v>2.1800000000000002</v>
      </c>
      <c r="N21" s="113" t="str">
        <f t="shared" si="37"/>
        <v>AF</v>
      </c>
      <c r="O21" s="115" t="s">
        <v>3</v>
      </c>
      <c r="P21" s="238">
        <f t="shared" si="3"/>
        <v>0</v>
      </c>
      <c r="Q21" s="238"/>
      <c r="R21" s="117">
        <f t="shared" si="26"/>
        <v>264.20999999999998</v>
      </c>
      <c r="S21" s="116">
        <v>265.92</v>
      </c>
      <c r="T21" s="117">
        <f t="shared" si="27"/>
        <v>262.32192299999997</v>
      </c>
      <c r="U21" s="264">
        <f t="shared" si="4"/>
        <v>264.30136299999998</v>
      </c>
      <c r="V21" s="117">
        <f t="shared" si="18"/>
        <v>1.8880770000000098</v>
      </c>
      <c r="W21" s="118">
        <f t="shared" si="19"/>
        <v>1.6186370000000352</v>
      </c>
      <c r="X21" s="189">
        <f t="shared" si="6"/>
        <v>1.75</v>
      </c>
      <c r="Y21" s="145">
        <f t="shared" si="7"/>
        <v>0</v>
      </c>
      <c r="Z21" s="121">
        <f t="shared" si="7"/>
        <v>0</v>
      </c>
      <c r="AA21" s="121">
        <f t="shared" si="7"/>
        <v>0</v>
      </c>
      <c r="AB21" s="121">
        <f t="shared" si="7"/>
        <v>90.82</v>
      </c>
      <c r="AC21" s="121">
        <f t="shared" si="7"/>
        <v>0</v>
      </c>
      <c r="AD21" s="121">
        <f t="shared" si="7"/>
        <v>0</v>
      </c>
      <c r="AE21" s="121">
        <f t="shared" si="7"/>
        <v>0</v>
      </c>
      <c r="AF21" s="121">
        <f t="shared" si="7"/>
        <v>0</v>
      </c>
      <c r="AG21" s="121">
        <f t="shared" si="7"/>
        <v>0</v>
      </c>
      <c r="AH21" s="122">
        <f t="shared" si="7"/>
        <v>0</v>
      </c>
      <c r="AI21" s="145">
        <f t="shared" si="8"/>
        <v>0</v>
      </c>
      <c r="AJ21" s="121">
        <f t="shared" si="8"/>
        <v>0</v>
      </c>
      <c r="AK21" s="121">
        <f t="shared" si="8"/>
        <v>0</v>
      </c>
      <c r="AL21" s="121">
        <f t="shared" si="8"/>
        <v>0</v>
      </c>
      <c r="AM21" s="121">
        <f t="shared" si="8"/>
        <v>0</v>
      </c>
      <c r="AN21" s="121">
        <f t="shared" si="8"/>
        <v>0</v>
      </c>
      <c r="AO21" s="121">
        <f t="shared" si="8"/>
        <v>0</v>
      </c>
      <c r="AP21" s="121">
        <f t="shared" si="8"/>
        <v>0</v>
      </c>
      <c r="AQ21" s="121">
        <f t="shared" si="8"/>
        <v>0</v>
      </c>
      <c r="AR21" s="122">
        <f t="shared" si="8"/>
        <v>0</v>
      </c>
      <c r="AS21" s="145">
        <f t="shared" si="9"/>
        <v>0</v>
      </c>
      <c r="AT21" s="121">
        <f t="shared" si="9"/>
        <v>0</v>
      </c>
      <c r="AU21" s="121">
        <f t="shared" si="9"/>
        <v>0</v>
      </c>
      <c r="AV21" s="121">
        <f t="shared" si="9"/>
        <v>0</v>
      </c>
      <c r="AW21" s="121">
        <f t="shared" si="9"/>
        <v>0</v>
      </c>
      <c r="AX21" s="121">
        <f t="shared" si="9"/>
        <v>0</v>
      </c>
      <c r="AY21" s="121">
        <f t="shared" si="9"/>
        <v>0</v>
      </c>
      <c r="AZ21" s="121">
        <f t="shared" si="9"/>
        <v>0</v>
      </c>
      <c r="BA21" s="121">
        <f t="shared" si="9"/>
        <v>0</v>
      </c>
      <c r="BB21" s="122">
        <f t="shared" si="9"/>
        <v>0</v>
      </c>
      <c r="BC21" s="145">
        <f t="shared" si="38"/>
        <v>0</v>
      </c>
      <c r="BD21" s="192">
        <f t="shared" si="20"/>
        <v>0</v>
      </c>
      <c r="BE21" s="192">
        <f t="shared" si="21"/>
        <v>0</v>
      </c>
      <c r="BF21" s="192">
        <f t="shared" si="10"/>
        <v>72.655999999999992</v>
      </c>
      <c r="BG21" s="192">
        <f t="shared" si="22"/>
        <v>0</v>
      </c>
      <c r="BH21" s="192">
        <f t="shared" si="23"/>
        <v>0</v>
      </c>
      <c r="BI21" s="122"/>
      <c r="BJ21" s="123"/>
      <c r="BL21" s="125">
        <f t="shared" si="11"/>
        <v>90.82</v>
      </c>
      <c r="BM21" s="125">
        <f t="shared" si="24"/>
        <v>0</v>
      </c>
    </row>
    <row r="22" spans="1:74" s="81" customFormat="1" ht="16.5" customHeight="1">
      <c r="A22" s="124" t="str">
        <f t="shared" si="12"/>
        <v>OK</v>
      </c>
      <c r="C22" s="748"/>
      <c r="D22" s="113"/>
      <c r="E22" s="114"/>
      <c r="F22" s="114">
        <f t="shared" si="33"/>
        <v>150</v>
      </c>
      <c r="G22" s="263" t="str">
        <f t="shared" si="34"/>
        <v>HD</v>
      </c>
      <c r="H22" s="115" t="str">
        <f t="shared" si="35"/>
        <v>K-9</v>
      </c>
      <c r="I22" s="117">
        <f t="shared" si="25"/>
        <v>679.41000009999993</v>
      </c>
      <c r="J22" s="264">
        <f t="shared" si="36"/>
        <v>731.2000000999999</v>
      </c>
      <c r="K22" s="267">
        <v>51.79</v>
      </c>
      <c r="L22" s="118">
        <f t="shared" si="15"/>
        <v>51.83</v>
      </c>
      <c r="M22" s="116">
        <v>3.86</v>
      </c>
      <c r="N22" s="113" t="str">
        <f t="shared" si="37"/>
        <v>AF</v>
      </c>
      <c r="O22" s="115" t="s">
        <v>3</v>
      </c>
      <c r="P22" s="238">
        <f t="shared" si="3"/>
        <v>0</v>
      </c>
      <c r="Q22" s="238"/>
      <c r="R22" s="117">
        <f t="shared" si="26"/>
        <v>265.92</v>
      </c>
      <c r="S22" s="116">
        <v>267.67</v>
      </c>
      <c r="T22" s="117">
        <f t="shared" si="27"/>
        <v>264.30136299999998</v>
      </c>
      <c r="U22" s="264">
        <f t="shared" si="4"/>
        <v>266.30045699999999</v>
      </c>
      <c r="V22" s="117">
        <f t="shared" si="18"/>
        <v>1.6186370000000352</v>
      </c>
      <c r="W22" s="118">
        <f t="shared" si="19"/>
        <v>1.3695430000000215</v>
      </c>
      <c r="X22" s="189">
        <f t="shared" si="6"/>
        <v>1.49</v>
      </c>
      <c r="Y22" s="145">
        <f t="shared" si="7"/>
        <v>0</v>
      </c>
      <c r="Z22" s="121">
        <f t="shared" si="7"/>
        <v>0</v>
      </c>
      <c r="AA22" s="121">
        <f t="shared" si="7"/>
        <v>51.83</v>
      </c>
      <c r="AB22" s="121">
        <f t="shared" si="7"/>
        <v>0</v>
      </c>
      <c r="AC22" s="121">
        <f t="shared" si="7"/>
        <v>0</v>
      </c>
      <c r="AD22" s="121">
        <f t="shared" si="7"/>
        <v>0</v>
      </c>
      <c r="AE22" s="121">
        <f t="shared" si="7"/>
        <v>0</v>
      </c>
      <c r="AF22" s="121">
        <f t="shared" si="7"/>
        <v>0</v>
      </c>
      <c r="AG22" s="121">
        <f t="shared" si="7"/>
        <v>0</v>
      </c>
      <c r="AH22" s="122">
        <f t="shared" si="7"/>
        <v>0</v>
      </c>
      <c r="AI22" s="145">
        <f t="shared" si="8"/>
        <v>0</v>
      </c>
      <c r="AJ22" s="121">
        <f t="shared" si="8"/>
        <v>0</v>
      </c>
      <c r="AK22" s="121">
        <f t="shared" si="8"/>
        <v>0</v>
      </c>
      <c r="AL22" s="121">
        <f t="shared" si="8"/>
        <v>0</v>
      </c>
      <c r="AM22" s="121">
        <f t="shared" si="8"/>
        <v>0</v>
      </c>
      <c r="AN22" s="121">
        <f t="shared" si="8"/>
        <v>0</v>
      </c>
      <c r="AO22" s="121">
        <f t="shared" si="8"/>
        <v>0</v>
      </c>
      <c r="AP22" s="121">
        <f t="shared" si="8"/>
        <v>0</v>
      </c>
      <c r="AQ22" s="121">
        <f t="shared" si="8"/>
        <v>0</v>
      </c>
      <c r="AR22" s="122">
        <f t="shared" si="8"/>
        <v>0</v>
      </c>
      <c r="AS22" s="145">
        <f t="shared" si="9"/>
        <v>0</v>
      </c>
      <c r="AT22" s="121">
        <f t="shared" si="9"/>
        <v>0</v>
      </c>
      <c r="AU22" s="121">
        <f t="shared" si="9"/>
        <v>0</v>
      </c>
      <c r="AV22" s="121">
        <f t="shared" si="9"/>
        <v>0</v>
      </c>
      <c r="AW22" s="121">
        <f t="shared" si="9"/>
        <v>0</v>
      </c>
      <c r="AX22" s="121">
        <f t="shared" si="9"/>
        <v>0</v>
      </c>
      <c r="AY22" s="121">
        <f t="shared" si="9"/>
        <v>0</v>
      </c>
      <c r="AZ22" s="121">
        <f t="shared" si="9"/>
        <v>0</v>
      </c>
      <c r="BA22" s="121">
        <f t="shared" si="9"/>
        <v>0</v>
      </c>
      <c r="BB22" s="122">
        <f t="shared" si="9"/>
        <v>0</v>
      </c>
      <c r="BC22" s="145">
        <f t="shared" si="38"/>
        <v>0</v>
      </c>
      <c r="BD22" s="192">
        <f t="shared" si="20"/>
        <v>0</v>
      </c>
      <c r="BE22" s="192">
        <f t="shared" si="21"/>
        <v>0</v>
      </c>
      <c r="BF22" s="192">
        <f t="shared" si="10"/>
        <v>41.463999999999999</v>
      </c>
      <c r="BG22" s="192">
        <f t="shared" si="22"/>
        <v>0</v>
      </c>
      <c r="BH22" s="192">
        <f t="shared" si="23"/>
        <v>0</v>
      </c>
      <c r="BI22" s="122"/>
      <c r="BJ22" s="123"/>
      <c r="BL22" s="125">
        <f t="shared" si="11"/>
        <v>51.83</v>
      </c>
      <c r="BM22" s="125">
        <f t="shared" si="24"/>
        <v>0</v>
      </c>
    </row>
    <row r="23" spans="1:74" s="81" customFormat="1" ht="16.5" customHeight="1">
      <c r="A23" s="124" t="str">
        <f t="shared" si="12"/>
        <v>OK</v>
      </c>
      <c r="C23" s="748"/>
      <c r="D23" s="113"/>
      <c r="E23" s="114"/>
      <c r="F23" s="114">
        <f t="shared" si="33"/>
        <v>150</v>
      </c>
      <c r="G23" s="263" t="str">
        <f t="shared" si="34"/>
        <v>HD</v>
      </c>
      <c r="H23" s="115" t="str">
        <f t="shared" si="35"/>
        <v>K-9</v>
      </c>
      <c r="I23" s="117">
        <f t="shared" si="25"/>
        <v>731.2000000999999</v>
      </c>
      <c r="J23" s="264">
        <f t="shared" si="36"/>
        <v>838.26000009999984</v>
      </c>
      <c r="K23" s="267">
        <v>107.06</v>
      </c>
      <c r="L23" s="118">
        <f>+ROUND(K23*SQRT((M23/100)^2+1),2)</f>
        <v>107.06</v>
      </c>
      <c r="M23" s="116">
        <v>0.1</v>
      </c>
      <c r="N23" s="113" t="str">
        <f t="shared" si="37"/>
        <v>AF</v>
      </c>
      <c r="O23" s="115" t="s">
        <v>3</v>
      </c>
      <c r="P23" s="238">
        <f t="shared" si="3"/>
        <v>0</v>
      </c>
      <c r="Q23" s="238"/>
      <c r="R23" s="117">
        <f t="shared" si="26"/>
        <v>267.67</v>
      </c>
      <c r="S23" s="116">
        <v>267.97000000000003</v>
      </c>
      <c r="T23" s="117">
        <f t="shared" si="27"/>
        <v>266.30045699999999</v>
      </c>
      <c r="U23" s="264">
        <f t="shared" si="4"/>
        <v>266.40751699999998</v>
      </c>
      <c r="V23" s="117">
        <f t="shared" si="18"/>
        <v>1.3695430000000215</v>
      </c>
      <c r="W23" s="118">
        <f t="shared" si="19"/>
        <v>1.5624830000000429</v>
      </c>
      <c r="X23" s="189">
        <f t="shared" si="6"/>
        <v>1.47</v>
      </c>
      <c r="Y23" s="145">
        <f t="shared" si="7"/>
        <v>0</v>
      </c>
      <c r="Z23" s="121">
        <f t="shared" si="7"/>
        <v>0</v>
      </c>
      <c r="AA23" s="121">
        <f t="shared" si="7"/>
        <v>107.06</v>
      </c>
      <c r="AB23" s="121">
        <f t="shared" si="7"/>
        <v>0</v>
      </c>
      <c r="AC23" s="121">
        <f t="shared" si="7"/>
        <v>0</v>
      </c>
      <c r="AD23" s="121">
        <f t="shared" si="7"/>
        <v>0</v>
      </c>
      <c r="AE23" s="121">
        <f t="shared" si="7"/>
        <v>0</v>
      </c>
      <c r="AF23" s="121">
        <f t="shared" si="7"/>
        <v>0</v>
      </c>
      <c r="AG23" s="121">
        <f t="shared" si="7"/>
        <v>0</v>
      </c>
      <c r="AH23" s="122">
        <f t="shared" si="7"/>
        <v>0</v>
      </c>
      <c r="AI23" s="145">
        <f t="shared" si="8"/>
        <v>0</v>
      </c>
      <c r="AJ23" s="121">
        <f t="shared" si="8"/>
        <v>0</v>
      </c>
      <c r="AK23" s="121">
        <f t="shared" si="8"/>
        <v>0</v>
      </c>
      <c r="AL23" s="121">
        <f t="shared" si="8"/>
        <v>0</v>
      </c>
      <c r="AM23" s="121">
        <f t="shared" si="8"/>
        <v>0</v>
      </c>
      <c r="AN23" s="121">
        <f t="shared" si="8"/>
        <v>0</v>
      </c>
      <c r="AO23" s="121">
        <f t="shared" si="8"/>
        <v>0</v>
      </c>
      <c r="AP23" s="121">
        <f t="shared" si="8"/>
        <v>0</v>
      </c>
      <c r="AQ23" s="121">
        <f t="shared" si="8"/>
        <v>0</v>
      </c>
      <c r="AR23" s="122">
        <f t="shared" si="8"/>
        <v>0</v>
      </c>
      <c r="AS23" s="145">
        <f t="shared" si="9"/>
        <v>0</v>
      </c>
      <c r="AT23" s="121">
        <f t="shared" si="9"/>
        <v>0</v>
      </c>
      <c r="AU23" s="121">
        <f t="shared" si="9"/>
        <v>0</v>
      </c>
      <c r="AV23" s="121">
        <f t="shared" si="9"/>
        <v>0</v>
      </c>
      <c r="AW23" s="121">
        <f t="shared" si="9"/>
        <v>0</v>
      </c>
      <c r="AX23" s="121">
        <f t="shared" si="9"/>
        <v>0</v>
      </c>
      <c r="AY23" s="121">
        <f t="shared" si="9"/>
        <v>0</v>
      </c>
      <c r="AZ23" s="121">
        <f t="shared" si="9"/>
        <v>0</v>
      </c>
      <c r="BA23" s="121">
        <f t="shared" si="9"/>
        <v>0</v>
      </c>
      <c r="BB23" s="122">
        <f t="shared" si="9"/>
        <v>0</v>
      </c>
      <c r="BC23" s="145">
        <f t="shared" si="38"/>
        <v>0</v>
      </c>
      <c r="BD23" s="192">
        <f t="shared" si="20"/>
        <v>0</v>
      </c>
      <c r="BE23" s="192">
        <f t="shared" si="21"/>
        <v>0</v>
      </c>
      <c r="BF23" s="192">
        <f t="shared" si="10"/>
        <v>85.64800000000001</v>
      </c>
      <c r="BG23" s="192">
        <f t="shared" si="22"/>
        <v>0</v>
      </c>
      <c r="BH23" s="192">
        <f t="shared" si="23"/>
        <v>0</v>
      </c>
      <c r="BI23" s="122"/>
      <c r="BJ23" s="123"/>
      <c r="BL23" s="125">
        <f t="shared" si="11"/>
        <v>107.06</v>
      </c>
      <c r="BM23" s="125">
        <f t="shared" si="24"/>
        <v>0</v>
      </c>
    </row>
    <row r="24" spans="1:74" s="81" customFormat="1" ht="16.5" customHeight="1">
      <c r="A24" s="124" t="str">
        <f t="shared" si="12"/>
        <v>OK</v>
      </c>
      <c r="C24" s="748"/>
      <c r="D24" s="113"/>
      <c r="E24" s="114"/>
      <c r="F24" s="114">
        <f t="shared" si="33"/>
        <v>150</v>
      </c>
      <c r="G24" s="263" t="str">
        <f t="shared" si="34"/>
        <v>HD</v>
      </c>
      <c r="H24" s="115" t="str">
        <f t="shared" si="35"/>
        <v>K-9</v>
      </c>
      <c r="I24" s="117">
        <f t="shared" si="25"/>
        <v>838.26000009999984</v>
      </c>
      <c r="J24" s="264">
        <f>+I24+K24</f>
        <v>839.75000009999985</v>
      </c>
      <c r="K24" s="267">
        <f>108.55-K23</f>
        <v>1.4899999999999949</v>
      </c>
      <c r="L24" s="118">
        <f>+ROUND(K24*SQRT((M24/100)^2+1),2)</f>
        <v>1.49</v>
      </c>
      <c r="M24" s="116">
        <v>0.1</v>
      </c>
      <c r="N24" s="113" t="s">
        <v>216</v>
      </c>
      <c r="O24" s="115" t="s">
        <v>3</v>
      </c>
      <c r="P24" s="238">
        <f t="shared" ref="P24" si="39">+IF(O24="N",IF(X24&gt;1.75,"E",0),0)</f>
        <v>0</v>
      </c>
      <c r="Q24" s="238"/>
      <c r="R24" s="117">
        <f t="shared" si="26"/>
        <v>267.97000000000003</v>
      </c>
      <c r="S24" s="116">
        <v>268.14</v>
      </c>
      <c r="T24" s="117">
        <f t="shared" ref="T24:T30" si="40">U23</f>
        <v>266.40751699999998</v>
      </c>
      <c r="U24" s="264">
        <f t="shared" ref="U24" si="41">+T24+K24*M24/100</f>
        <v>266.40900699999997</v>
      </c>
      <c r="V24" s="117">
        <f t="shared" si="18"/>
        <v>1.5624830000000429</v>
      </c>
      <c r="W24" s="118">
        <f t="shared" si="19"/>
        <v>1.7309930000000122</v>
      </c>
      <c r="X24" s="189">
        <f t="shared" ref="X24" si="42">ROUND(AVERAGE(V24:W24),2)</f>
        <v>1.65</v>
      </c>
      <c r="Y24" s="145">
        <f t="shared" si="7"/>
        <v>0</v>
      </c>
      <c r="Z24" s="121">
        <f t="shared" si="7"/>
        <v>0</v>
      </c>
      <c r="AA24" s="121">
        <f t="shared" si="7"/>
        <v>0</v>
      </c>
      <c r="AB24" s="121">
        <f t="shared" si="7"/>
        <v>1.49</v>
      </c>
      <c r="AC24" s="121">
        <f t="shared" si="7"/>
        <v>0</v>
      </c>
      <c r="AD24" s="121">
        <f t="shared" si="7"/>
        <v>0</v>
      </c>
      <c r="AE24" s="121">
        <f t="shared" si="7"/>
        <v>0</v>
      </c>
      <c r="AF24" s="121">
        <f t="shared" si="7"/>
        <v>0</v>
      </c>
      <c r="AG24" s="121">
        <f t="shared" si="7"/>
        <v>0</v>
      </c>
      <c r="AH24" s="122">
        <f t="shared" si="7"/>
        <v>0</v>
      </c>
      <c r="AI24" s="145">
        <f t="shared" si="8"/>
        <v>0</v>
      </c>
      <c r="AJ24" s="121">
        <f t="shared" si="8"/>
        <v>0</v>
      </c>
      <c r="AK24" s="121">
        <f t="shared" si="8"/>
        <v>0</v>
      </c>
      <c r="AL24" s="121">
        <f t="shared" si="8"/>
        <v>0</v>
      </c>
      <c r="AM24" s="121">
        <f t="shared" si="8"/>
        <v>0</v>
      </c>
      <c r="AN24" s="121">
        <f t="shared" si="8"/>
        <v>0</v>
      </c>
      <c r="AO24" s="121">
        <f t="shared" si="8"/>
        <v>0</v>
      </c>
      <c r="AP24" s="121">
        <f t="shared" si="8"/>
        <v>0</v>
      </c>
      <c r="AQ24" s="121">
        <f t="shared" si="8"/>
        <v>0</v>
      </c>
      <c r="AR24" s="122">
        <f t="shared" si="8"/>
        <v>0</v>
      </c>
      <c r="AS24" s="145">
        <f t="shared" si="9"/>
        <v>0</v>
      </c>
      <c r="AT24" s="121">
        <f t="shared" si="9"/>
        <v>0</v>
      </c>
      <c r="AU24" s="121">
        <f t="shared" si="9"/>
        <v>0</v>
      </c>
      <c r="AV24" s="121">
        <f t="shared" si="9"/>
        <v>0</v>
      </c>
      <c r="AW24" s="121">
        <f t="shared" si="9"/>
        <v>0</v>
      </c>
      <c r="AX24" s="121">
        <f t="shared" si="9"/>
        <v>0</v>
      </c>
      <c r="AY24" s="121">
        <f t="shared" si="9"/>
        <v>0</v>
      </c>
      <c r="AZ24" s="121">
        <f t="shared" si="9"/>
        <v>0</v>
      </c>
      <c r="BA24" s="121">
        <f t="shared" si="9"/>
        <v>0</v>
      </c>
      <c r="BB24" s="122">
        <f t="shared" si="9"/>
        <v>0</v>
      </c>
      <c r="BC24" s="145">
        <f t="shared" ref="BC24" si="43">+IF(N24="SP",L24,0)</f>
        <v>1.49</v>
      </c>
      <c r="BD24" s="192">
        <f t="shared" ref="BD24" si="44">+IF(P24="E",L24,0)</f>
        <v>0</v>
      </c>
      <c r="BE24" s="192">
        <f t="shared" ref="BE24" si="45">+IF(Q24="A",L24,0)</f>
        <v>0</v>
      </c>
      <c r="BF24" s="192">
        <f t="shared" si="10"/>
        <v>0</v>
      </c>
      <c r="BG24" s="192">
        <f t="shared" si="22"/>
        <v>0</v>
      </c>
      <c r="BH24" s="192">
        <f t="shared" si="23"/>
        <v>0</v>
      </c>
      <c r="BI24" s="122"/>
      <c r="BJ24" s="123"/>
      <c r="BL24" s="125">
        <f t="shared" ref="BL24" si="46">+IF(N24="AF",L24,0)</f>
        <v>0</v>
      </c>
      <c r="BM24" s="125">
        <f t="shared" ref="BM24" si="47">+IF(O24="SP",K24,0)</f>
        <v>0</v>
      </c>
    </row>
    <row r="25" spans="1:74" s="81" customFormat="1" ht="16.5" customHeight="1">
      <c r="A25" s="124" t="str">
        <f t="shared" si="12"/>
        <v>OK</v>
      </c>
      <c r="C25" s="748"/>
      <c r="D25" s="113"/>
      <c r="E25" s="114"/>
      <c r="F25" s="114">
        <f t="shared" si="33"/>
        <v>150</v>
      </c>
      <c r="G25" s="263" t="str">
        <f t="shared" si="34"/>
        <v>HD</v>
      </c>
      <c r="H25" s="115" t="str">
        <f t="shared" si="35"/>
        <v>K-9</v>
      </c>
      <c r="I25" s="117">
        <f t="shared" si="25"/>
        <v>839.75000009999985</v>
      </c>
      <c r="J25" s="264">
        <f t="shared" si="36"/>
        <v>863.5600000999998</v>
      </c>
      <c r="K25" s="267">
        <v>23.81</v>
      </c>
      <c r="L25" s="118">
        <f t="shared" si="15"/>
        <v>24.94</v>
      </c>
      <c r="M25" s="116">
        <v>31.17</v>
      </c>
      <c r="N25" s="113" t="str">
        <f t="shared" si="37"/>
        <v>SP</v>
      </c>
      <c r="O25" s="115" t="s">
        <v>3</v>
      </c>
      <c r="P25" s="238">
        <f t="shared" si="3"/>
        <v>0</v>
      </c>
      <c r="Q25" s="238" t="s">
        <v>205</v>
      </c>
      <c r="R25" s="117">
        <f t="shared" si="26"/>
        <v>268.14</v>
      </c>
      <c r="S25" s="116">
        <v>275.82</v>
      </c>
      <c r="T25" s="117">
        <f t="shared" si="40"/>
        <v>266.40900699999997</v>
      </c>
      <c r="U25" s="264">
        <v>274.45</v>
      </c>
      <c r="V25" s="117">
        <f t="shared" si="18"/>
        <v>1.7309930000000122</v>
      </c>
      <c r="W25" s="118">
        <f t="shared" si="19"/>
        <v>1.3700000000000045</v>
      </c>
      <c r="X25" s="189">
        <f t="shared" si="6"/>
        <v>1.55</v>
      </c>
      <c r="Y25" s="145">
        <f t="shared" ref="Y25:AH37" si="48">+IF($O25="N",IF($X25&gt;=Y$11,IF($X25&lt;=Y$12,$L25,0),0),0)</f>
        <v>0</v>
      </c>
      <c r="Z25" s="121">
        <f t="shared" si="48"/>
        <v>0</v>
      </c>
      <c r="AA25" s="121">
        <f t="shared" si="48"/>
        <v>0</v>
      </c>
      <c r="AB25" s="308">
        <f t="shared" si="48"/>
        <v>24.94</v>
      </c>
      <c r="AC25" s="308">
        <f t="shared" si="48"/>
        <v>0</v>
      </c>
      <c r="AD25" s="121">
        <f t="shared" si="48"/>
        <v>0</v>
      </c>
      <c r="AE25" s="121">
        <f t="shared" si="48"/>
        <v>0</v>
      </c>
      <c r="AF25" s="121">
        <f t="shared" si="48"/>
        <v>0</v>
      </c>
      <c r="AG25" s="121">
        <f t="shared" si="48"/>
        <v>0</v>
      </c>
      <c r="AH25" s="122">
        <f t="shared" si="48"/>
        <v>0</v>
      </c>
      <c r="AI25" s="145">
        <f t="shared" ref="AI25:AR37" si="49">+IF($O25="SR",IF($X25&gt;=AI$11,IF($X25&lt;=AI$12,$L25,0),0),0)</f>
        <v>0</v>
      </c>
      <c r="AJ25" s="121">
        <f t="shared" si="49"/>
        <v>0</v>
      </c>
      <c r="AK25" s="121">
        <f t="shared" si="49"/>
        <v>0</v>
      </c>
      <c r="AL25" s="121">
        <f t="shared" si="49"/>
        <v>0</v>
      </c>
      <c r="AM25" s="121">
        <f t="shared" si="49"/>
        <v>0</v>
      </c>
      <c r="AN25" s="121">
        <f t="shared" si="49"/>
        <v>0</v>
      </c>
      <c r="AO25" s="121">
        <f t="shared" si="49"/>
        <v>0</v>
      </c>
      <c r="AP25" s="121">
        <f t="shared" si="49"/>
        <v>0</v>
      </c>
      <c r="AQ25" s="121">
        <f t="shared" si="49"/>
        <v>0</v>
      </c>
      <c r="AR25" s="122">
        <f t="shared" si="49"/>
        <v>0</v>
      </c>
      <c r="AS25" s="145">
        <f t="shared" ref="AS25:BB37" si="50">+IF($O25="R",IF($X25&gt;=AS$11,IF($X25&lt;=AS$12,$L25,0),0),0)</f>
        <v>0</v>
      </c>
      <c r="AT25" s="121">
        <f t="shared" si="50"/>
        <v>0</v>
      </c>
      <c r="AU25" s="121">
        <f t="shared" si="50"/>
        <v>0</v>
      </c>
      <c r="AV25" s="121">
        <f t="shared" si="50"/>
        <v>0</v>
      </c>
      <c r="AW25" s="121">
        <f t="shared" si="50"/>
        <v>0</v>
      </c>
      <c r="AX25" s="121">
        <f t="shared" si="50"/>
        <v>0</v>
      </c>
      <c r="AY25" s="121">
        <f t="shared" si="50"/>
        <v>0</v>
      </c>
      <c r="AZ25" s="121">
        <f t="shared" si="50"/>
        <v>0</v>
      </c>
      <c r="BA25" s="121">
        <f t="shared" si="50"/>
        <v>0</v>
      </c>
      <c r="BB25" s="122">
        <f t="shared" si="50"/>
        <v>0</v>
      </c>
      <c r="BC25" s="145">
        <f t="shared" si="38"/>
        <v>24.94</v>
      </c>
      <c r="BD25" s="192">
        <f t="shared" si="20"/>
        <v>0</v>
      </c>
      <c r="BE25" s="192">
        <f t="shared" si="21"/>
        <v>24.94</v>
      </c>
      <c r="BF25" s="192">
        <f t="shared" si="10"/>
        <v>0</v>
      </c>
      <c r="BG25" s="192">
        <f t="shared" si="22"/>
        <v>0</v>
      </c>
      <c r="BH25" s="192">
        <f t="shared" si="23"/>
        <v>0</v>
      </c>
      <c r="BI25" s="122"/>
      <c r="BJ25" s="123"/>
      <c r="BL25" s="125">
        <f t="shared" si="11"/>
        <v>0</v>
      </c>
      <c r="BM25" s="125">
        <f t="shared" si="24"/>
        <v>0</v>
      </c>
    </row>
    <row r="26" spans="1:74" s="81" customFormat="1" ht="16.5" customHeight="1">
      <c r="A26" s="124" t="str">
        <f t="shared" si="12"/>
        <v>OK</v>
      </c>
      <c r="C26" s="748"/>
      <c r="D26" s="113"/>
      <c r="E26" s="114"/>
      <c r="F26" s="114">
        <f t="shared" si="33"/>
        <v>150</v>
      </c>
      <c r="G26" s="263" t="str">
        <f t="shared" si="34"/>
        <v>HD</v>
      </c>
      <c r="H26" s="115" t="str">
        <f t="shared" si="35"/>
        <v>K-9</v>
      </c>
      <c r="I26" s="117">
        <f t="shared" si="25"/>
        <v>863.5600000999998</v>
      </c>
      <c r="J26" s="264">
        <f t="shared" si="36"/>
        <v>883.96000009999977</v>
      </c>
      <c r="K26" s="267">
        <v>20.399999999999999</v>
      </c>
      <c r="L26" s="118">
        <f t="shared" si="15"/>
        <v>20.98</v>
      </c>
      <c r="M26" s="116">
        <v>24.07</v>
      </c>
      <c r="N26" s="113" t="str">
        <f t="shared" si="37"/>
        <v>SP</v>
      </c>
      <c r="O26" s="115" t="s">
        <v>3</v>
      </c>
      <c r="P26" s="238" t="str">
        <f t="shared" si="3"/>
        <v>E</v>
      </c>
      <c r="Q26" s="238" t="s">
        <v>205</v>
      </c>
      <c r="R26" s="117">
        <f t="shared" si="26"/>
        <v>275.82</v>
      </c>
      <c r="S26" s="116">
        <v>281.63</v>
      </c>
      <c r="T26" s="117">
        <f t="shared" si="40"/>
        <v>274.45</v>
      </c>
      <c r="U26" s="264">
        <f t="shared" ref="U26:U37" si="51">+T26+K26*M26/100</f>
        <v>279.36027999999999</v>
      </c>
      <c r="V26" s="117">
        <f t="shared" si="18"/>
        <v>1.3700000000000045</v>
      </c>
      <c r="W26" s="118">
        <f t="shared" si="19"/>
        <v>2.2697200000000066</v>
      </c>
      <c r="X26" s="189">
        <f t="shared" si="6"/>
        <v>1.82</v>
      </c>
      <c r="Y26" s="145">
        <f t="shared" si="48"/>
        <v>0</v>
      </c>
      <c r="Z26" s="121">
        <f t="shared" si="48"/>
        <v>0</v>
      </c>
      <c r="AA26" s="121">
        <f t="shared" si="48"/>
        <v>0</v>
      </c>
      <c r="AB26" s="308">
        <f t="shared" si="48"/>
        <v>0</v>
      </c>
      <c r="AC26" s="308">
        <f t="shared" si="48"/>
        <v>20.98</v>
      </c>
      <c r="AD26" s="121">
        <f t="shared" si="48"/>
        <v>0</v>
      </c>
      <c r="AE26" s="121">
        <f t="shared" si="48"/>
        <v>0</v>
      </c>
      <c r="AF26" s="121">
        <f t="shared" si="48"/>
        <v>0</v>
      </c>
      <c r="AG26" s="121">
        <f t="shared" si="48"/>
        <v>0</v>
      </c>
      <c r="AH26" s="122">
        <f t="shared" si="48"/>
        <v>0</v>
      </c>
      <c r="AI26" s="145">
        <f t="shared" si="49"/>
        <v>0</v>
      </c>
      <c r="AJ26" s="121">
        <f t="shared" si="49"/>
        <v>0</v>
      </c>
      <c r="AK26" s="121">
        <f t="shared" si="49"/>
        <v>0</v>
      </c>
      <c r="AL26" s="121">
        <f t="shared" si="49"/>
        <v>0</v>
      </c>
      <c r="AM26" s="121">
        <f t="shared" si="49"/>
        <v>0</v>
      </c>
      <c r="AN26" s="121">
        <f t="shared" si="49"/>
        <v>0</v>
      </c>
      <c r="AO26" s="121">
        <f t="shared" si="49"/>
        <v>0</v>
      </c>
      <c r="AP26" s="121">
        <f t="shared" si="49"/>
        <v>0</v>
      </c>
      <c r="AQ26" s="121">
        <f t="shared" si="49"/>
        <v>0</v>
      </c>
      <c r="AR26" s="122">
        <f t="shared" si="49"/>
        <v>0</v>
      </c>
      <c r="AS26" s="145">
        <f t="shared" si="50"/>
        <v>0</v>
      </c>
      <c r="AT26" s="121">
        <f t="shared" si="50"/>
        <v>0</v>
      </c>
      <c r="AU26" s="121">
        <f t="shared" si="50"/>
        <v>0</v>
      </c>
      <c r="AV26" s="121">
        <f t="shared" si="50"/>
        <v>0</v>
      </c>
      <c r="AW26" s="121">
        <f t="shared" si="50"/>
        <v>0</v>
      </c>
      <c r="AX26" s="121">
        <f t="shared" si="50"/>
        <v>0</v>
      </c>
      <c r="AY26" s="121">
        <f t="shared" si="50"/>
        <v>0</v>
      </c>
      <c r="AZ26" s="121">
        <f t="shared" si="50"/>
        <v>0</v>
      </c>
      <c r="BA26" s="121">
        <f t="shared" si="50"/>
        <v>0</v>
      </c>
      <c r="BB26" s="122">
        <f t="shared" si="50"/>
        <v>0</v>
      </c>
      <c r="BC26" s="145">
        <f t="shared" si="38"/>
        <v>20.98</v>
      </c>
      <c r="BD26" s="192">
        <f t="shared" si="20"/>
        <v>20.98</v>
      </c>
      <c r="BE26" s="192">
        <f t="shared" si="21"/>
        <v>20.98</v>
      </c>
      <c r="BF26" s="192">
        <f t="shared" si="10"/>
        <v>0</v>
      </c>
      <c r="BG26" s="192">
        <f t="shared" si="22"/>
        <v>0</v>
      </c>
      <c r="BH26" s="192">
        <f t="shared" si="23"/>
        <v>0</v>
      </c>
      <c r="BI26" s="122"/>
      <c r="BJ26" s="123"/>
      <c r="BL26" s="125">
        <f t="shared" si="11"/>
        <v>0</v>
      </c>
      <c r="BM26" s="125">
        <f t="shared" si="24"/>
        <v>0</v>
      </c>
    </row>
    <row r="27" spans="1:74" s="81" customFormat="1" ht="16.5" customHeight="1">
      <c r="A27" s="124" t="str">
        <f t="shared" si="12"/>
        <v>OK</v>
      </c>
      <c r="C27" s="748"/>
      <c r="D27" s="113"/>
      <c r="E27" s="114"/>
      <c r="F27" s="114">
        <f t="shared" si="33"/>
        <v>150</v>
      </c>
      <c r="G27" s="263" t="str">
        <f t="shared" si="34"/>
        <v>HD</v>
      </c>
      <c r="H27" s="115" t="str">
        <f t="shared" si="35"/>
        <v>K-9</v>
      </c>
      <c r="I27" s="117">
        <f t="shared" si="25"/>
        <v>883.96000009999977</v>
      </c>
      <c r="J27" s="264">
        <f t="shared" si="36"/>
        <v>888.82000009999979</v>
      </c>
      <c r="K27" s="267">
        <v>4.8600000000000003</v>
      </c>
      <c r="L27" s="118">
        <f t="shared" si="15"/>
        <v>5.15</v>
      </c>
      <c r="M27" s="116">
        <v>34.880000000000003</v>
      </c>
      <c r="N27" s="113" t="str">
        <f t="shared" si="37"/>
        <v>SP</v>
      </c>
      <c r="O27" s="115" t="s">
        <v>3</v>
      </c>
      <c r="P27" s="238" t="str">
        <f t="shared" si="3"/>
        <v>E</v>
      </c>
      <c r="Q27" s="238"/>
      <c r="R27" s="117">
        <f t="shared" ref="R27" si="52">S26</f>
        <v>281.63</v>
      </c>
      <c r="S27" s="116">
        <v>283.70999999999998</v>
      </c>
      <c r="T27" s="117">
        <f t="shared" si="40"/>
        <v>279.36027999999999</v>
      </c>
      <c r="U27" s="264">
        <f t="shared" si="51"/>
        <v>281.05544800000001</v>
      </c>
      <c r="V27" s="117">
        <f t="shared" si="18"/>
        <v>2.2697200000000066</v>
      </c>
      <c r="W27" s="118">
        <f t="shared" si="19"/>
        <v>2.6545519999999669</v>
      </c>
      <c r="X27" s="189">
        <f t="shared" si="6"/>
        <v>2.46</v>
      </c>
      <c r="Y27" s="145">
        <f t="shared" si="48"/>
        <v>0</v>
      </c>
      <c r="Z27" s="121">
        <f t="shared" si="48"/>
        <v>0</v>
      </c>
      <c r="AA27" s="121">
        <f t="shared" si="48"/>
        <v>0</v>
      </c>
      <c r="AB27" s="121">
        <f t="shared" si="48"/>
        <v>0</v>
      </c>
      <c r="AC27" s="121">
        <f t="shared" si="48"/>
        <v>0</v>
      </c>
      <c r="AD27" s="121">
        <f t="shared" si="48"/>
        <v>5.15</v>
      </c>
      <c r="AE27" s="121">
        <f t="shared" si="48"/>
        <v>0</v>
      </c>
      <c r="AF27" s="121">
        <f t="shared" si="48"/>
        <v>0</v>
      </c>
      <c r="AG27" s="121">
        <f t="shared" si="48"/>
        <v>0</v>
      </c>
      <c r="AH27" s="122">
        <f t="shared" si="48"/>
        <v>0</v>
      </c>
      <c r="AI27" s="145">
        <f t="shared" si="49"/>
        <v>0</v>
      </c>
      <c r="AJ27" s="121">
        <f t="shared" si="49"/>
        <v>0</v>
      </c>
      <c r="AK27" s="121">
        <f t="shared" si="49"/>
        <v>0</v>
      </c>
      <c r="AL27" s="121">
        <f t="shared" si="49"/>
        <v>0</v>
      </c>
      <c r="AM27" s="121">
        <f t="shared" si="49"/>
        <v>0</v>
      </c>
      <c r="AN27" s="121">
        <f t="shared" si="49"/>
        <v>0</v>
      </c>
      <c r="AO27" s="121">
        <f t="shared" si="49"/>
        <v>0</v>
      </c>
      <c r="AP27" s="121">
        <f t="shared" si="49"/>
        <v>0</v>
      </c>
      <c r="AQ27" s="121">
        <f t="shared" si="49"/>
        <v>0</v>
      </c>
      <c r="AR27" s="122">
        <f t="shared" si="49"/>
        <v>0</v>
      </c>
      <c r="AS27" s="145">
        <f t="shared" si="50"/>
        <v>0</v>
      </c>
      <c r="AT27" s="121">
        <f t="shared" si="50"/>
        <v>0</v>
      </c>
      <c r="AU27" s="121">
        <f t="shared" si="50"/>
        <v>0</v>
      </c>
      <c r="AV27" s="121">
        <f t="shared" si="50"/>
        <v>0</v>
      </c>
      <c r="AW27" s="121">
        <f t="shared" si="50"/>
        <v>0</v>
      </c>
      <c r="AX27" s="121">
        <f t="shared" si="50"/>
        <v>0</v>
      </c>
      <c r="AY27" s="121">
        <f t="shared" si="50"/>
        <v>0</v>
      </c>
      <c r="AZ27" s="121">
        <f t="shared" si="50"/>
        <v>0</v>
      </c>
      <c r="BA27" s="121">
        <f t="shared" si="50"/>
        <v>0</v>
      </c>
      <c r="BB27" s="122">
        <f t="shared" si="50"/>
        <v>0</v>
      </c>
      <c r="BC27" s="145">
        <f t="shared" si="38"/>
        <v>5.15</v>
      </c>
      <c r="BD27" s="192">
        <f t="shared" si="20"/>
        <v>5.15</v>
      </c>
      <c r="BE27" s="192">
        <f t="shared" si="21"/>
        <v>0</v>
      </c>
      <c r="BF27" s="192">
        <f t="shared" si="10"/>
        <v>0</v>
      </c>
      <c r="BG27" s="192">
        <f t="shared" si="22"/>
        <v>0</v>
      </c>
      <c r="BH27" s="192">
        <f t="shared" si="23"/>
        <v>0</v>
      </c>
      <c r="BI27" s="122"/>
      <c r="BJ27" s="123"/>
      <c r="BL27" s="125">
        <f t="shared" si="11"/>
        <v>0</v>
      </c>
      <c r="BM27" s="125">
        <f t="shared" si="24"/>
        <v>0</v>
      </c>
    </row>
    <row r="28" spans="1:74" s="81" customFormat="1" ht="16.5" customHeight="1">
      <c r="A28" s="124" t="str">
        <f t="shared" si="12"/>
        <v>OK</v>
      </c>
      <c r="C28" s="748"/>
      <c r="D28" s="113"/>
      <c r="E28" s="114"/>
      <c r="F28" s="114">
        <f t="shared" si="33"/>
        <v>150</v>
      </c>
      <c r="G28" s="263" t="str">
        <f t="shared" si="34"/>
        <v>HD</v>
      </c>
      <c r="H28" s="115" t="str">
        <f t="shared" si="35"/>
        <v>K-9</v>
      </c>
      <c r="I28" s="117">
        <f t="shared" ref="I28:I37" si="53">J27</f>
        <v>888.82000009999979</v>
      </c>
      <c r="J28" s="264">
        <f t="shared" ref="J28" si="54">+I28+K28</f>
        <v>892.79000009999982</v>
      </c>
      <c r="K28" s="267">
        <f>8.83-K27</f>
        <v>3.9699999999999998</v>
      </c>
      <c r="L28" s="118">
        <f t="shared" ref="L28" si="55">+ROUND(K28*SQRT((M28/100)^2+1),2)</f>
        <v>4.2</v>
      </c>
      <c r="M28" s="116">
        <v>34.880000000000003</v>
      </c>
      <c r="N28" s="113" t="s">
        <v>218</v>
      </c>
      <c r="O28" s="115" t="s">
        <v>3</v>
      </c>
      <c r="P28" s="238" t="str">
        <f t="shared" ref="P28" si="56">+IF(O28="N",IF(X28&gt;1.75,"E",0),0)</f>
        <v>E</v>
      </c>
      <c r="Q28" s="238"/>
      <c r="R28" s="117">
        <f t="shared" ref="R28:R37" si="57">S27</f>
        <v>283.70999999999998</v>
      </c>
      <c r="S28" s="116">
        <v>283.94</v>
      </c>
      <c r="T28" s="117">
        <f t="shared" si="40"/>
        <v>281.05544800000001</v>
      </c>
      <c r="U28" s="264">
        <f t="shared" ref="U28" si="58">+T28+K28*M28/100</f>
        <v>282.44018399999999</v>
      </c>
      <c r="V28" s="117">
        <f t="shared" si="18"/>
        <v>2.6545519999999669</v>
      </c>
      <c r="W28" s="118">
        <f t="shared" si="19"/>
        <v>1.4998160000000098</v>
      </c>
      <c r="X28" s="189">
        <f t="shared" ref="X28" si="59">ROUND(AVERAGE(V28:W28),2)</f>
        <v>2.08</v>
      </c>
      <c r="Y28" s="145">
        <f t="shared" si="48"/>
        <v>0</v>
      </c>
      <c r="Z28" s="121">
        <f t="shared" si="48"/>
        <v>0</v>
      </c>
      <c r="AA28" s="121">
        <f t="shared" si="48"/>
        <v>0</v>
      </c>
      <c r="AB28" s="121">
        <f t="shared" si="48"/>
        <v>0</v>
      </c>
      <c r="AC28" s="121">
        <f t="shared" si="48"/>
        <v>0</v>
      </c>
      <c r="AD28" s="121">
        <f t="shared" si="48"/>
        <v>4.2</v>
      </c>
      <c r="AE28" s="121">
        <f t="shared" si="48"/>
        <v>0</v>
      </c>
      <c r="AF28" s="121">
        <f t="shared" si="48"/>
        <v>0</v>
      </c>
      <c r="AG28" s="121">
        <f t="shared" si="48"/>
        <v>0</v>
      </c>
      <c r="AH28" s="122">
        <f t="shared" si="48"/>
        <v>0</v>
      </c>
      <c r="AI28" s="145">
        <f t="shared" si="49"/>
        <v>0</v>
      </c>
      <c r="AJ28" s="121">
        <f t="shared" si="49"/>
        <v>0</v>
      </c>
      <c r="AK28" s="121">
        <f t="shared" si="49"/>
        <v>0</v>
      </c>
      <c r="AL28" s="121">
        <f t="shared" si="49"/>
        <v>0</v>
      </c>
      <c r="AM28" s="121">
        <f t="shared" si="49"/>
        <v>0</v>
      </c>
      <c r="AN28" s="121">
        <f t="shared" si="49"/>
        <v>0</v>
      </c>
      <c r="AO28" s="121">
        <f t="shared" si="49"/>
        <v>0</v>
      </c>
      <c r="AP28" s="121">
        <f t="shared" si="49"/>
        <v>0</v>
      </c>
      <c r="AQ28" s="121">
        <f t="shared" si="49"/>
        <v>0</v>
      </c>
      <c r="AR28" s="122">
        <f t="shared" si="49"/>
        <v>0</v>
      </c>
      <c r="AS28" s="145">
        <f t="shared" si="50"/>
        <v>0</v>
      </c>
      <c r="AT28" s="121">
        <f t="shared" si="50"/>
        <v>0</v>
      </c>
      <c r="AU28" s="121">
        <f t="shared" si="50"/>
        <v>0</v>
      </c>
      <c r="AV28" s="121">
        <f t="shared" si="50"/>
        <v>0</v>
      </c>
      <c r="AW28" s="121">
        <f t="shared" si="50"/>
        <v>0</v>
      </c>
      <c r="AX28" s="121">
        <f t="shared" si="50"/>
        <v>0</v>
      </c>
      <c r="AY28" s="121">
        <f t="shared" si="50"/>
        <v>0</v>
      </c>
      <c r="AZ28" s="121">
        <f t="shared" si="50"/>
        <v>0</v>
      </c>
      <c r="BA28" s="121">
        <f t="shared" si="50"/>
        <v>0</v>
      </c>
      <c r="BB28" s="122">
        <f t="shared" si="50"/>
        <v>0</v>
      </c>
      <c r="BC28" s="145">
        <f t="shared" ref="BC28" si="60">+IF(N28="SP",L28,0)</f>
        <v>0</v>
      </c>
      <c r="BD28" s="192">
        <f t="shared" ref="BD28" si="61">+IF(P28="E",L28,0)</f>
        <v>4.2</v>
      </c>
      <c r="BE28" s="192">
        <f t="shared" ref="BE28" si="62">+IF(Q28="A",L28,0)</f>
        <v>0</v>
      </c>
      <c r="BF28" s="192">
        <f t="shared" si="10"/>
        <v>3.3600000000000003</v>
      </c>
      <c r="BG28" s="192">
        <f t="shared" si="22"/>
        <v>0</v>
      </c>
      <c r="BH28" s="192">
        <f t="shared" si="23"/>
        <v>0</v>
      </c>
      <c r="BI28" s="122"/>
      <c r="BJ28" s="123"/>
      <c r="BL28" s="125">
        <f t="shared" ref="BL28" si="63">+IF(N28="AF",L28,0)</f>
        <v>4.2</v>
      </c>
      <c r="BM28" s="125">
        <f t="shared" ref="BM28" si="64">+IF(O28="SP",K28,0)</f>
        <v>0</v>
      </c>
    </row>
    <row r="29" spans="1:74" s="81" customFormat="1" ht="16.5" customHeight="1">
      <c r="A29" s="124" t="str">
        <f t="shared" si="12"/>
        <v>OK</v>
      </c>
      <c r="C29" s="748"/>
      <c r="D29" s="113"/>
      <c r="E29" s="114"/>
      <c r="F29" s="114">
        <f t="shared" si="33"/>
        <v>150</v>
      </c>
      <c r="G29" s="263" t="str">
        <f t="shared" si="34"/>
        <v>HD</v>
      </c>
      <c r="H29" s="115" t="str">
        <f t="shared" si="35"/>
        <v>K-9</v>
      </c>
      <c r="I29" s="117">
        <f t="shared" si="53"/>
        <v>892.79000009999982</v>
      </c>
      <c r="J29" s="264">
        <f t="shared" si="36"/>
        <v>904.54000009999982</v>
      </c>
      <c r="K29" s="267">
        <v>11.75</v>
      </c>
      <c r="L29" s="118">
        <f t="shared" si="15"/>
        <v>11.75</v>
      </c>
      <c r="M29" s="116">
        <v>0.34</v>
      </c>
      <c r="N29" s="113" t="str">
        <f t="shared" si="37"/>
        <v>AF</v>
      </c>
      <c r="O29" s="115" t="s">
        <v>3</v>
      </c>
      <c r="P29" s="238">
        <f t="shared" si="3"/>
        <v>0</v>
      </c>
      <c r="Q29" s="238"/>
      <c r="R29" s="117">
        <f t="shared" si="57"/>
        <v>283.94</v>
      </c>
      <c r="S29" s="116">
        <v>284.18</v>
      </c>
      <c r="T29" s="117">
        <f t="shared" si="40"/>
        <v>282.44018399999999</v>
      </c>
      <c r="U29" s="264">
        <f t="shared" si="51"/>
        <v>282.48013399999996</v>
      </c>
      <c r="V29" s="117">
        <f t="shared" si="18"/>
        <v>1.4998160000000098</v>
      </c>
      <c r="W29" s="118">
        <f t="shared" si="19"/>
        <v>1.6998660000000427</v>
      </c>
      <c r="X29" s="189">
        <f t="shared" si="6"/>
        <v>1.6</v>
      </c>
      <c r="Y29" s="145">
        <f t="shared" si="48"/>
        <v>0</v>
      </c>
      <c r="Z29" s="121">
        <f t="shared" si="48"/>
        <v>0</v>
      </c>
      <c r="AA29" s="121">
        <f t="shared" si="48"/>
        <v>0</v>
      </c>
      <c r="AB29" s="121">
        <f t="shared" si="48"/>
        <v>11.75</v>
      </c>
      <c r="AC29" s="121">
        <f t="shared" si="48"/>
        <v>0</v>
      </c>
      <c r="AD29" s="121">
        <f t="shared" si="48"/>
        <v>0</v>
      </c>
      <c r="AE29" s="121">
        <f t="shared" si="48"/>
        <v>0</v>
      </c>
      <c r="AF29" s="121">
        <f t="shared" si="48"/>
        <v>0</v>
      </c>
      <c r="AG29" s="121">
        <f t="shared" si="48"/>
        <v>0</v>
      </c>
      <c r="AH29" s="122">
        <f t="shared" si="48"/>
        <v>0</v>
      </c>
      <c r="AI29" s="145">
        <f t="shared" si="49"/>
        <v>0</v>
      </c>
      <c r="AJ29" s="121">
        <f t="shared" si="49"/>
        <v>0</v>
      </c>
      <c r="AK29" s="121">
        <f t="shared" si="49"/>
        <v>0</v>
      </c>
      <c r="AL29" s="121">
        <f t="shared" si="49"/>
        <v>0</v>
      </c>
      <c r="AM29" s="121">
        <f t="shared" si="49"/>
        <v>0</v>
      </c>
      <c r="AN29" s="121">
        <f t="shared" si="49"/>
        <v>0</v>
      </c>
      <c r="AO29" s="121">
        <f t="shared" si="49"/>
        <v>0</v>
      </c>
      <c r="AP29" s="121">
        <f t="shared" si="49"/>
        <v>0</v>
      </c>
      <c r="AQ29" s="121">
        <f t="shared" si="49"/>
        <v>0</v>
      </c>
      <c r="AR29" s="122">
        <f t="shared" si="49"/>
        <v>0</v>
      </c>
      <c r="AS29" s="145">
        <f t="shared" si="50"/>
        <v>0</v>
      </c>
      <c r="AT29" s="121">
        <f t="shared" si="50"/>
        <v>0</v>
      </c>
      <c r="AU29" s="121">
        <f t="shared" si="50"/>
        <v>0</v>
      </c>
      <c r="AV29" s="121">
        <f t="shared" si="50"/>
        <v>0</v>
      </c>
      <c r="AW29" s="121">
        <f t="shared" si="50"/>
        <v>0</v>
      </c>
      <c r="AX29" s="121">
        <f t="shared" si="50"/>
        <v>0</v>
      </c>
      <c r="AY29" s="121">
        <f t="shared" si="50"/>
        <v>0</v>
      </c>
      <c r="AZ29" s="121">
        <f t="shared" si="50"/>
        <v>0</v>
      </c>
      <c r="BA29" s="121">
        <f t="shared" si="50"/>
        <v>0</v>
      </c>
      <c r="BB29" s="122">
        <f t="shared" si="50"/>
        <v>0</v>
      </c>
      <c r="BC29" s="145">
        <f t="shared" si="38"/>
        <v>0</v>
      </c>
      <c r="BD29" s="192">
        <f t="shared" si="20"/>
        <v>0</v>
      </c>
      <c r="BE29" s="192">
        <f t="shared" si="21"/>
        <v>0</v>
      </c>
      <c r="BF29" s="192">
        <f t="shared" si="10"/>
        <v>9.4</v>
      </c>
      <c r="BG29" s="192">
        <f t="shared" si="22"/>
        <v>0</v>
      </c>
      <c r="BH29" s="192">
        <f t="shared" si="23"/>
        <v>0</v>
      </c>
      <c r="BI29" s="122"/>
      <c r="BJ29" s="123"/>
      <c r="BL29" s="125">
        <f t="shared" si="11"/>
        <v>11.75</v>
      </c>
      <c r="BM29" s="125">
        <f t="shared" si="24"/>
        <v>0</v>
      </c>
    </row>
    <row r="30" spans="1:74" s="81" customFormat="1" ht="16.5" customHeight="1">
      <c r="A30" s="124" t="str">
        <f t="shared" si="12"/>
        <v>OK</v>
      </c>
      <c r="C30" s="748"/>
      <c r="D30" s="113"/>
      <c r="E30" s="114"/>
      <c r="F30" s="114">
        <f t="shared" si="33"/>
        <v>150</v>
      </c>
      <c r="G30" s="263" t="str">
        <f t="shared" si="34"/>
        <v>HD</v>
      </c>
      <c r="H30" s="115" t="str">
        <f t="shared" si="35"/>
        <v>K-9</v>
      </c>
      <c r="I30" s="117">
        <f t="shared" si="53"/>
        <v>904.54000009999982</v>
      </c>
      <c r="J30" s="264">
        <f t="shared" si="36"/>
        <v>909.89000009999984</v>
      </c>
      <c r="K30" s="267">
        <v>5.35</v>
      </c>
      <c r="L30" s="118">
        <f t="shared" si="15"/>
        <v>5.58</v>
      </c>
      <c r="M30" s="116">
        <v>29.37</v>
      </c>
      <c r="N30" s="113" t="str">
        <f t="shared" si="37"/>
        <v>AF</v>
      </c>
      <c r="O30" s="115" t="s">
        <v>3</v>
      </c>
      <c r="P30" s="238">
        <f t="shared" si="3"/>
        <v>0</v>
      </c>
      <c r="Q30" s="238"/>
      <c r="R30" s="117">
        <f t="shared" si="57"/>
        <v>284.18</v>
      </c>
      <c r="S30" s="116">
        <v>285.04000000000002</v>
      </c>
      <c r="T30" s="117">
        <f t="shared" si="40"/>
        <v>282.48013399999996</v>
      </c>
      <c r="U30" s="264">
        <f t="shared" si="51"/>
        <v>284.05142899999998</v>
      </c>
      <c r="V30" s="117">
        <f t="shared" si="18"/>
        <v>1.6998660000000427</v>
      </c>
      <c r="W30" s="118">
        <f t="shared" si="19"/>
        <v>0.98857100000003584</v>
      </c>
      <c r="X30" s="189">
        <f t="shared" si="6"/>
        <v>1.34</v>
      </c>
      <c r="Y30" s="145">
        <f t="shared" si="48"/>
        <v>0</v>
      </c>
      <c r="Z30" s="121">
        <f t="shared" si="48"/>
        <v>0</v>
      </c>
      <c r="AA30" s="121">
        <f t="shared" si="48"/>
        <v>5.58</v>
      </c>
      <c r="AB30" s="121">
        <f t="shared" si="48"/>
        <v>0</v>
      </c>
      <c r="AC30" s="121">
        <f t="shared" si="48"/>
        <v>0</v>
      </c>
      <c r="AD30" s="121">
        <f t="shared" si="48"/>
        <v>0</v>
      </c>
      <c r="AE30" s="121">
        <f t="shared" si="48"/>
        <v>0</v>
      </c>
      <c r="AF30" s="121">
        <f t="shared" si="48"/>
        <v>0</v>
      </c>
      <c r="AG30" s="121">
        <f t="shared" si="48"/>
        <v>0</v>
      </c>
      <c r="AH30" s="122">
        <f t="shared" si="48"/>
        <v>0</v>
      </c>
      <c r="AI30" s="145">
        <f t="shared" si="49"/>
        <v>0</v>
      </c>
      <c r="AJ30" s="121">
        <f t="shared" si="49"/>
        <v>0</v>
      </c>
      <c r="AK30" s="121">
        <f t="shared" si="49"/>
        <v>0</v>
      </c>
      <c r="AL30" s="121">
        <f t="shared" si="49"/>
        <v>0</v>
      </c>
      <c r="AM30" s="121">
        <f t="shared" si="49"/>
        <v>0</v>
      </c>
      <c r="AN30" s="121">
        <f t="shared" si="49"/>
        <v>0</v>
      </c>
      <c r="AO30" s="121">
        <f t="shared" si="49"/>
        <v>0</v>
      </c>
      <c r="AP30" s="121">
        <f t="shared" si="49"/>
        <v>0</v>
      </c>
      <c r="AQ30" s="121">
        <f t="shared" si="49"/>
        <v>0</v>
      </c>
      <c r="AR30" s="122">
        <f t="shared" si="49"/>
        <v>0</v>
      </c>
      <c r="AS30" s="145">
        <f t="shared" si="50"/>
        <v>0</v>
      </c>
      <c r="AT30" s="121">
        <f t="shared" si="50"/>
        <v>0</v>
      </c>
      <c r="AU30" s="121">
        <f t="shared" si="50"/>
        <v>0</v>
      </c>
      <c r="AV30" s="121">
        <f t="shared" si="50"/>
        <v>0</v>
      </c>
      <c r="AW30" s="121">
        <f t="shared" si="50"/>
        <v>0</v>
      </c>
      <c r="AX30" s="121">
        <f t="shared" si="50"/>
        <v>0</v>
      </c>
      <c r="AY30" s="121">
        <f t="shared" si="50"/>
        <v>0</v>
      </c>
      <c r="AZ30" s="121">
        <f t="shared" si="50"/>
        <v>0</v>
      </c>
      <c r="BA30" s="121">
        <f t="shared" si="50"/>
        <v>0</v>
      </c>
      <c r="BB30" s="122">
        <f t="shared" si="50"/>
        <v>0</v>
      </c>
      <c r="BC30" s="145">
        <f t="shared" si="38"/>
        <v>0</v>
      </c>
      <c r="BD30" s="192">
        <f t="shared" si="20"/>
        <v>0</v>
      </c>
      <c r="BE30" s="192">
        <f t="shared" si="21"/>
        <v>0</v>
      </c>
      <c r="BF30" s="192">
        <f t="shared" si="10"/>
        <v>4.4640000000000004</v>
      </c>
      <c r="BG30" s="192">
        <f t="shared" si="22"/>
        <v>0</v>
      </c>
      <c r="BH30" s="192">
        <f t="shared" si="23"/>
        <v>0</v>
      </c>
      <c r="BI30" s="122"/>
      <c r="BJ30" s="123"/>
      <c r="BL30" s="125">
        <f t="shared" si="11"/>
        <v>5.58</v>
      </c>
      <c r="BM30" s="125">
        <f t="shared" si="24"/>
        <v>0</v>
      </c>
    </row>
    <row r="31" spans="1:74" s="81" customFormat="1" ht="16.5" customHeight="1">
      <c r="A31" s="124" t="str">
        <f t="shared" si="12"/>
        <v>OK</v>
      </c>
      <c r="C31" s="748"/>
      <c r="D31" s="113"/>
      <c r="E31" s="114"/>
      <c r="F31" s="114">
        <f t="shared" si="33"/>
        <v>150</v>
      </c>
      <c r="G31" s="263" t="str">
        <f t="shared" si="34"/>
        <v>HD</v>
      </c>
      <c r="H31" s="115" t="str">
        <f t="shared" si="35"/>
        <v>K-9</v>
      </c>
      <c r="I31" s="117">
        <f t="shared" si="53"/>
        <v>909.89000009999984</v>
      </c>
      <c r="J31" s="264">
        <f t="shared" ref="J31" si="65">+I31+K31</f>
        <v>917.23000009999987</v>
      </c>
      <c r="K31" s="267">
        <f>12.69-K30</f>
        <v>7.34</v>
      </c>
      <c r="L31" s="118">
        <f t="shared" ref="L31" si="66">+ROUND(K31*SQRT((M31/100)^2+1),2)</f>
        <v>7.65</v>
      </c>
      <c r="M31" s="116">
        <v>29.37</v>
      </c>
      <c r="N31" s="113" t="s">
        <v>262</v>
      </c>
      <c r="O31" s="115" t="s">
        <v>3</v>
      </c>
      <c r="P31" s="238">
        <f t="shared" ref="P31" si="67">+IF(O31="N",IF(X31&gt;1.75,"E",0),0)</f>
        <v>0</v>
      </c>
      <c r="Q31" s="238" t="s">
        <v>205</v>
      </c>
      <c r="R31" s="117">
        <f t="shared" si="57"/>
        <v>285.04000000000002</v>
      </c>
      <c r="S31" s="116">
        <v>288.02</v>
      </c>
      <c r="T31" s="117">
        <f t="shared" ref="T31:T33" si="68">U30</f>
        <v>284.05142899999998</v>
      </c>
      <c r="U31" s="264">
        <f t="shared" ref="U31" si="69">+T31+K31*M31/100</f>
        <v>286.20718699999998</v>
      </c>
      <c r="V31" s="117">
        <f t="shared" si="18"/>
        <v>0.98857100000003584</v>
      </c>
      <c r="W31" s="118">
        <f t="shared" si="19"/>
        <v>1.8128130000000056</v>
      </c>
      <c r="X31" s="189">
        <f t="shared" ref="X31" si="70">ROUND(AVERAGE(V31:W31),2)</f>
        <v>1.4</v>
      </c>
      <c r="Y31" s="145">
        <f t="shared" si="48"/>
        <v>0</v>
      </c>
      <c r="Z31" s="121">
        <f t="shared" si="48"/>
        <v>0</v>
      </c>
      <c r="AA31" s="308">
        <f t="shared" si="48"/>
        <v>7.65</v>
      </c>
      <c r="AB31" s="308">
        <f t="shared" si="48"/>
        <v>0</v>
      </c>
      <c r="AC31" s="121">
        <f t="shared" si="48"/>
        <v>0</v>
      </c>
      <c r="AD31" s="121">
        <f t="shared" si="48"/>
        <v>0</v>
      </c>
      <c r="AE31" s="121">
        <f t="shared" si="48"/>
        <v>0</v>
      </c>
      <c r="AF31" s="121">
        <f t="shared" si="48"/>
        <v>0</v>
      </c>
      <c r="AG31" s="121">
        <f t="shared" si="48"/>
        <v>0</v>
      </c>
      <c r="AH31" s="122">
        <f t="shared" si="48"/>
        <v>0</v>
      </c>
      <c r="AI31" s="145">
        <f t="shared" si="49"/>
        <v>0</v>
      </c>
      <c r="AJ31" s="121">
        <f t="shared" si="49"/>
        <v>0</v>
      </c>
      <c r="AK31" s="121">
        <f t="shared" si="49"/>
        <v>0</v>
      </c>
      <c r="AL31" s="121">
        <f t="shared" si="49"/>
        <v>0</v>
      </c>
      <c r="AM31" s="121">
        <f t="shared" si="49"/>
        <v>0</v>
      </c>
      <c r="AN31" s="121">
        <f t="shared" si="49"/>
        <v>0</v>
      </c>
      <c r="AO31" s="121">
        <f t="shared" si="49"/>
        <v>0</v>
      </c>
      <c r="AP31" s="121">
        <f t="shared" si="49"/>
        <v>0</v>
      </c>
      <c r="AQ31" s="121">
        <f t="shared" si="49"/>
        <v>0</v>
      </c>
      <c r="AR31" s="122">
        <f t="shared" si="49"/>
        <v>0</v>
      </c>
      <c r="AS31" s="145">
        <f t="shared" si="50"/>
        <v>0</v>
      </c>
      <c r="AT31" s="121">
        <f t="shared" si="50"/>
        <v>0</v>
      </c>
      <c r="AU31" s="121">
        <f t="shared" si="50"/>
        <v>0</v>
      </c>
      <c r="AV31" s="121">
        <f t="shared" si="50"/>
        <v>0</v>
      </c>
      <c r="AW31" s="121">
        <f t="shared" si="50"/>
        <v>0</v>
      </c>
      <c r="AX31" s="121">
        <f t="shared" si="50"/>
        <v>0</v>
      </c>
      <c r="AY31" s="121">
        <f t="shared" si="50"/>
        <v>0</v>
      </c>
      <c r="AZ31" s="121">
        <f t="shared" si="50"/>
        <v>0</v>
      </c>
      <c r="BA31" s="121">
        <f t="shared" si="50"/>
        <v>0</v>
      </c>
      <c r="BB31" s="122">
        <f t="shared" si="50"/>
        <v>0</v>
      </c>
      <c r="BC31" s="145">
        <f t="shared" ref="BC31" si="71">+IF(N31="SP",L31,0)</f>
        <v>0</v>
      </c>
      <c r="BD31" s="192">
        <f t="shared" ref="BD31" si="72">+IF(P31="E",L31,0)</f>
        <v>0</v>
      </c>
      <c r="BE31" s="192">
        <f t="shared" ref="BE31" si="73">+IF(Q31="A",L31,0)</f>
        <v>7.65</v>
      </c>
      <c r="BF31" s="192">
        <f t="shared" si="10"/>
        <v>0</v>
      </c>
      <c r="BG31" s="192">
        <f t="shared" si="22"/>
        <v>7.65</v>
      </c>
      <c r="BH31" s="192">
        <f t="shared" si="23"/>
        <v>0</v>
      </c>
      <c r="BI31" s="122"/>
      <c r="BJ31" s="123"/>
      <c r="BL31" s="125">
        <f t="shared" ref="BL31" si="74">+IF(N31="AF",L31,0)</f>
        <v>0</v>
      </c>
      <c r="BM31" s="125">
        <f t="shared" ref="BM31" si="75">+IF(O31="SP",K31,0)</f>
        <v>0</v>
      </c>
    </row>
    <row r="32" spans="1:74" s="81" customFormat="1" ht="16.5" customHeight="1">
      <c r="A32" s="124" t="str">
        <f t="shared" si="12"/>
        <v>OK</v>
      </c>
      <c r="C32" s="748"/>
      <c r="D32" s="113"/>
      <c r="E32" s="114"/>
      <c r="F32" s="114">
        <f t="shared" si="33"/>
        <v>150</v>
      </c>
      <c r="G32" s="263" t="str">
        <f t="shared" si="34"/>
        <v>HD</v>
      </c>
      <c r="H32" s="115" t="str">
        <f t="shared" si="35"/>
        <v>K-9</v>
      </c>
      <c r="I32" s="117">
        <f t="shared" si="53"/>
        <v>917.23000009999987</v>
      </c>
      <c r="J32" s="264">
        <f t="shared" si="36"/>
        <v>928.44000009999991</v>
      </c>
      <c r="K32" s="267">
        <v>11.21</v>
      </c>
      <c r="L32" s="118">
        <f t="shared" si="15"/>
        <v>12.01</v>
      </c>
      <c r="M32" s="116">
        <v>38.51</v>
      </c>
      <c r="N32" s="113" t="str">
        <f t="shared" si="37"/>
        <v>E</v>
      </c>
      <c r="O32" s="115" t="s">
        <v>3</v>
      </c>
      <c r="P32" s="238">
        <f t="shared" si="3"/>
        <v>0</v>
      </c>
      <c r="Q32" s="238" t="s">
        <v>205</v>
      </c>
      <c r="R32" s="117">
        <f t="shared" si="57"/>
        <v>288.02</v>
      </c>
      <c r="S32" s="116">
        <v>292.01</v>
      </c>
      <c r="T32" s="117">
        <f t="shared" si="68"/>
        <v>286.20718699999998</v>
      </c>
      <c r="U32" s="264">
        <f t="shared" si="51"/>
        <v>290.524158</v>
      </c>
      <c r="V32" s="117">
        <f t="shared" si="18"/>
        <v>1.8128130000000056</v>
      </c>
      <c r="W32" s="118">
        <f t="shared" si="19"/>
        <v>1.485841999999991</v>
      </c>
      <c r="X32" s="189">
        <f t="shared" si="6"/>
        <v>1.65</v>
      </c>
      <c r="Y32" s="145">
        <f t="shared" si="48"/>
        <v>0</v>
      </c>
      <c r="Z32" s="121">
        <f t="shared" si="48"/>
        <v>0</v>
      </c>
      <c r="AA32" s="308">
        <f t="shared" si="48"/>
        <v>0</v>
      </c>
      <c r="AB32" s="308">
        <f t="shared" si="48"/>
        <v>12.01</v>
      </c>
      <c r="AC32" s="121">
        <f t="shared" si="48"/>
        <v>0</v>
      </c>
      <c r="AD32" s="121">
        <f t="shared" si="48"/>
        <v>0</v>
      </c>
      <c r="AE32" s="121">
        <f t="shared" si="48"/>
        <v>0</v>
      </c>
      <c r="AF32" s="121">
        <f t="shared" si="48"/>
        <v>0</v>
      </c>
      <c r="AG32" s="121">
        <f t="shared" si="48"/>
        <v>0</v>
      </c>
      <c r="AH32" s="122">
        <f t="shared" si="48"/>
        <v>0</v>
      </c>
      <c r="AI32" s="145">
        <f t="shared" si="49"/>
        <v>0</v>
      </c>
      <c r="AJ32" s="121">
        <f t="shared" si="49"/>
        <v>0</v>
      </c>
      <c r="AK32" s="121">
        <f t="shared" si="49"/>
        <v>0</v>
      </c>
      <c r="AL32" s="121">
        <f t="shared" si="49"/>
        <v>0</v>
      </c>
      <c r="AM32" s="121">
        <f t="shared" si="49"/>
        <v>0</v>
      </c>
      <c r="AN32" s="121">
        <f t="shared" si="49"/>
        <v>0</v>
      </c>
      <c r="AO32" s="121">
        <f t="shared" si="49"/>
        <v>0</v>
      </c>
      <c r="AP32" s="121">
        <f t="shared" si="49"/>
        <v>0</v>
      </c>
      <c r="AQ32" s="121">
        <f t="shared" si="49"/>
        <v>0</v>
      </c>
      <c r="AR32" s="122">
        <f t="shared" si="49"/>
        <v>0</v>
      </c>
      <c r="AS32" s="145">
        <f t="shared" si="50"/>
        <v>0</v>
      </c>
      <c r="AT32" s="121">
        <f t="shared" si="50"/>
        <v>0</v>
      </c>
      <c r="AU32" s="121">
        <f t="shared" si="50"/>
        <v>0</v>
      </c>
      <c r="AV32" s="121">
        <f t="shared" si="50"/>
        <v>0</v>
      </c>
      <c r="AW32" s="121">
        <f t="shared" si="50"/>
        <v>0</v>
      </c>
      <c r="AX32" s="121">
        <f t="shared" si="50"/>
        <v>0</v>
      </c>
      <c r="AY32" s="121">
        <f t="shared" si="50"/>
        <v>0</v>
      </c>
      <c r="AZ32" s="121">
        <f t="shared" si="50"/>
        <v>0</v>
      </c>
      <c r="BA32" s="121">
        <f t="shared" si="50"/>
        <v>0</v>
      </c>
      <c r="BB32" s="122">
        <f t="shared" si="50"/>
        <v>0</v>
      </c>
      <c r="BC32" s="145">
        <f t="shared" si="38"/>
        <v>0</v>
      </c>
      <c r="BD32" s="192">
        <f t="shared" si="20"/>
        <v>0</v>
      </c>
      <c r="BE32" s="192">
        <f t="shared" si="21"/>
        <v>12.01</v>
      </c>
      <c r="BF32" s="192">
        <f t="shared" si="10"/>
        <v>0</v>
      </c>
      <c r="BG32" s="192">
        <f t="shared" si="22"/>
        <v>12.01</v>
      </c>
      <c r="BH32" s="192">
        <f t="shared" si="23"/>
        <v>0</v>
      </c>
      <c r="BI32" s="122"/>
      <c r="BJ32" s="123"/>
      <c r="BL32" s="125">
        <f t="shared" si="11"/>
        <v>0</v>
      </c>
      <c r="BM32" s="125">
        <f t="shared" si="24"/>
        <v>0</v>
      </c>
    </row>
    <row r="33" spans="1:73" s="81" customFormat="1" ht="16.5" customHeight="1">
      <c r="A33" s="124" t="str">
        <f t="shared" si="12"/>
        <v>OK</v>
      </c>
      <c r="C33" s="748"/>
      <c r="D33" s="113"/>
      <c r="E33" s="114"/>
      <c r="F33" s="114">
        <f t="shared" si="33"/>
        <v>150</v>
      </c>
      <c r="G33" s="263" t="str">
        <f t="shared" si="34"/>
        <v>HD</v>
      </c>
      <c r="H33" s="115" t="str">
        <f t="shared" si="35"/>
        <v>K-9</v>
      </c>
      <c r="I33" s="117">
        <f t="shared" si="53"/>
        <v>928.44000009999991</v>
      </c>
      <c r="J33" s="264">
        <f t="shared" si="36"/>
        <v>943.61000009999987</v>
      </c>
      <c r="K33" s="267">
        <v>15.17</v>
      </c>
      <c r="L33" s="118">
        <f t="shared" si="15"/>
        <v>15.84</v>
      </c>
      <c r="M33" s="116">
        <v>30.11</v>
      </c>
      <c r="N33" s="113" t="str">
        <f t="shared" si="37"/>
        <v>E</v>
      </c>
      <c r="O33" s="115" t="s">
        <v>3</v>
      </c>
      <c r="P33" s="238">
        <f t="shared" si="3"/>
        <v>0</v>
      </c>
      <c r="Q33" s="238" t="s">
        <v>205</v>
      </c>
      <c r="R33" s="117">
        <f t="shared" si="57"/>
        <v>292.01</v>
      </c>
      <c r="S33" s="116">
        <v>296.79000000000002</v>
      </c>
      <c r="T33" s="117">
        <f t="shared" si="68"/>
        <v>290.524158</v>
      </c>
      <c r="U33" s="264">
        <f t="shared" si="51"/>
        <v>295.09184499999998</v>
      </c>
      <c r="V33" s="117">
        <f t="shared" si="18"/>
        <v>1.485841999999991</v>
      </c>
      <c r="W33" s="118">
        <f t="shared" si="19"/>
        <v>1.6981550000000425</v>
      </c>
      <c r="X33" s="189">
        <f t="shared" si="6"/>
        <v>1.59</v>
      </c>
      <c r="Y33" s="145">
        <f t="shared" si="48"/>
        <v>0</v>
      </c>
      <c r="Z33" s="121">
        <f t="shared" si="48"/>
        <v>0</v>
      </c>
      <c r="AA33" s="308">
        <f t="shared" si="48"/>
        <v>0</v>
      </c>
      <c r="AB33" s="308">
        <f t="shared" si="48"/>
        <v>15.84</v>
      </c>
      <c r="AC33" s="121">
        <f t="shared" si="48"/>
        <v>0</v>
      </c>
      <c r="AD33" s="121">
        <f t="shared" si="48"/>
        <v>0</v>
      </c>
      <c r="AE33" s="121">
        <f t="shared" si="48"/>
        <v>0</v>
      </c>
      <c r="AF33" s="121">
        <f t="shared" si="48"/>
        <v>0</v>
      </c>
      <c r="AG33" s="121">
        <f t="shared" si="48"/>
        <v>0</v>
      </c>
      <c r="AH33" s="122">
        <f t="shared" si="48"/>
        <v>0</v>
      </c>
      <c r="AI33" s="145">
        <f t="shared" si="49"/>
        <v>0</v>
      </c>
      <c r="AJ33" s="121">
        <f t="shared" si="49"/>
        <v>0</v>
      </c>
      <c r="AK33" s="121">
        <f t="shared" si="49"/>
        <v>0</v>
      </c>
      <c r="AL33" s="121">
        <f t="shared" si="49"/>
        <v>0</v>
      </c>
      <c r="AM33" s="121">
        <f t="shared" si="49"/>
        <v>0</v>
      </c>
      <c r="AN33" s="121">
        <f t="shared" si="49"/>
        <v>0</v>
      </c>
      <c r="AO33" s="121">
        <f t="shared" si="49"/>
        <v>0</v>
      </c>
      <c r="AP33" s="121">
        <f t="shared" si="49"/>
        <v>0</v>
      </c>
      <c r="AQ33" s="121">
        <f t="shared" si="49"/>
        <v>0</v>
      </c>
      <c r="AR33" s="122">
        <f t="shared" si="49"/>
        <v>0</v>
      </c>
      <c r="AS33" s="145">
        <f t="shared" si="50"/>
        <v>0</v>
      </c>
      <c r="AT33" s="121">
        <f t="shared" si="50"/>
        <v>0</v>
      </c>
      <c r="AU33" s="121">
        <f t="shared" si="50"/>
        <v>0</v>
      </c>
      <c r="AV33" s="121">
        <f t="shared" si="50"/>
        <v>0</v>
      </c>
      <c r="AW33" s="121">
        <f t="shared" si="50"/>
        <v>0</v>
      </c>
      <c r="AX33" s="121">
        <f t="shared" si="50"/>
        <v>0</v>
      </c>
      <c r="AY33" s="121">
        <f t="shared" si="50"/>
        <v>0</v>
      </c>
      <c r="AZ33" s="121">
        <f t="shared" si="50"/>
        <v>0</v>
      </c>
      <c r="BA33" s="121">
        <f t="shared" si="50"/>
        <v>0</v>
      </c>
      <c r="BB33" s="122">
        <f t="shared" si="50"/>
        <v>0</v>
      </c>
      <c r="BC33" s="145">
        <f t="shared" si="38"/>
        <v>0</v>
      </c>
      <c r="BD33" s="192">
        <f t="shared" si="20"/>
        <v>0</v>
      </c>
      <c r="BE33" s="192">
        <f t="shared" si="21"/>
        <v>15.84</v>
      </c>
      <c r="BF33" s="192">
        <f t="shared" si="10"/>
        <v>0</v>
      </c>
      <c r="BG33" s="192">
        <f t="shared" si="22"/>
        <v>15.84</v>
      </c>
      <c r="BH33" s="192">
        <f t="shared" si="23"/>
        <v>0</v>
      </c>
      <c r="BI33" s="122"/>
      <c r="BJ33" s="123"/>
      <c r="BL33" s="125">
        <f t="shared" si="11"/>
        <v>0</v>
      </c>
      <c r="BM33" s="125">
        <f t="shared" si="24"/>
        <v>0</v>
      </c>
    </row>
    <row r="34" spans="1:73" s="81" customFormat="1" ht="16.5" customHeight="1">
      <c r="A34" s="124" t="str">
        <f t="shared" si="12"/>
        <v>OK</v>
      </c>
      <c r="C34" s="748"/>
      <c r="D34" s="113"/>
      <c r="E34" s="114"/>
      <c r="F34" s="114">
        <f t="shared" si="33"/>
        <v>150</v>
      </c>
      <c r="G34" s="263" t="str">
        <f t="shared" si="34"/>
        <v>HD</v>
      </c>
      <c r="H34" s="115" t="str">
        <f t="shared" si="35"/>
        <v>K-9</v>
      </c>
      <c r="I34" s="117">
        <f t="shared" ref="I34:I35" si="76">J33</f>
        <v>943.61000009999987</v>
      </c>
      <c r="J34" s="264">
        <f t="shared" ref="J34" si="77">+I34+K34</f>
        <v>944.88000009999985</v>
      </c>
      <c r="K34" s="267">
        <f>16.44-K33</f>
        <v>1.2700000000000014</v>
      </c>
      <c r="L34" s="118">
        <f t="shared" ref="L34" si="78">+ROUND(K34*SQRT((M34/100)^2+1),2)</f>
        <v>1.33</v>
      </c>
      <c r="M34" s="116">
        <v>30.11</v>
      </c>
      <c r="N34" s="113" t="s">
        <v>218</v>
      </c>
      <c r="O34" s="115" t="s">
        <v>3</v>
      </c>
      <c r="P34" s="238">
        <f t="shared" ref="P34" si="79">+IF(O34="N",IF(X34&gt;1.75,"E",0),0)</f>
        <v>0</v>
      </c>
      <c r="Q34" s="238"/>
      <c r="R34" s="117">
        <f t="shared" si="57"/>
        <v>296.79000000000002</v>
      </c>
      <c r="S34" s="116">
        <v>296.74</v>
      </c>
      <c r="T34" s="117">
        <f t="shared" ref="T34:T37" si="80">U33</f>
        <v>295.09184499999998</v>
      </c>
      <c r="U34" s="264">
        <f t="shared" ref="U34" si="81">+T34+K34*M34/100</f>
        <v>295.474242</v>
      </c>
      <c r="V34" s="117">
        <f t="shared" si="18"/>
        <v>1.6981550000000425</v>
      </c>
      <c r="W34" s="118">
        <f t="shared" si="19"/>
        <v>1.2657580000000053</v>
      </c>
      <c r="X34" s="189">
        <f t="shared" ref="X34" si="82">ROUND(AVERAGE(V34:W34),2)</f>
        <v>1.48</v>
      </c>
      <c r="Y34" s="145">
        <f t="shared" si="48"/>
        <v>0</v>
      </c>
      <c r="Z34" s="121">
        <f t="shared" si="48"/>
        <v>0</v>
      </c>
      <c r="AA34" s="121">
        <f t="shared" si="48"/>
        <v>1.33</v>
      </c>
      <c r="AB34" s="121">
        <f t="shared" si="48"/>
        <v>0</v>
      </c>
      <c r="AC34" s="121">
        <f t="shared" si="48"/>
        <v>0</v>
      </c>
      <c r="AD34" s="121">
        <f t="shared" si="48"/>
        <v>0</v>
      </c>
      <c r="AE34" s="121">
        <f t="shared" si="48"/>
        <v>0</v>
      </c>
      <c r="AF34" s="121">
        <f t="shared" si="48"/>
        <v>0</v>
      </c>
      <c r="AG34" s="121">
        <f t="shared" si="48"/>
        <v>0</v>
      </c>
      <c r="AH34" s="122">
        <f t="shared" si="48"/>
        <v>0</v>
      </c>
      <c r="AI34" s="145">
        <f t="shared" si="49"/>
        <v>0</v>
      </c>
      <c r="AJ34" s="121">
        <f t="shared" si="49"/>
        <v>0</v>
      </c>
      <c r="AK34" s="121">
        <f t="shared" si="49"/>
        <v>0</v>
      </c>
      <c r="AL34" s="121">
        <f t="shared" si="49"/>
        <v>0</v>
      </c>
      <c r="AM34" s="121">
        <f t="shared" si="49"/>
        <v>0</v>
      </c>
      <c r="AN34" s="121">
        <f t="shared" si="49"/>
        <v>0</v>
      </c>
      <c r="AO34" s="121">
        <f t="shared" si="49"/>
        <v>0</v>
      </c>
      <c r="AP34" s="121">
        <f t="shared" si="49"/>
        <v>0</v>
      </c>
      <c r="AQ34" s="121">
        <f t="shared" si="49"/>
        <v>0</v>
      </c>
      <c r="AR34" s="122">
        <f t="shared" si="49"/>
        <v>0</v>
      </c>
      <c r="AS34" s="145">
        <f t="shared" si="50"/>
        <v>0</v>
      </c>
      <c r="AT34" s="121">
        <f t="shared" si="50"/>
        <v>0</v>
      </c>
      <c r="AU34" s="121">
        <f t="shared" si="50"/>
        <v>0</v>
      </c>
      <c r="AV34" s="121">
        <f t="shared" si="50"/>
        <v>0</v>
      </c>
      <c r="AW34" s="121">
        <f t="shared" si="50"/>
        <v>0</v>
      </c>
      <c r="AX34" s="121">
        <f t="shared" si="50"/>
        <v>0</v>
      </c>
      <c r="AY34" s="121">
        <f t="shared" si="50"/>
        <v>0</v>
      </c>
      <c r="AZ34" s="121">
        <f t="shared" si="50"/>
        <v>0</v>
      </c>
      <c r="BA34" s="121">
        <f t="shared" si="50"/>
        <v>0</v>
      </c>
      <c r="BB34" s="122">
        <f t="shared" si="50"/>
        <v>0</v>
      </c>
      <c r="BC34" s="145">
        <f t="shared" ref="BC34" si="83">+IF(N34="SP",L34,0)</f>
        <v>0</v>
      </c>
      <c r="BD34" s="192">
        <f t="shared" ref="BD34" si="84">+IF(P34="E",L34,0)</f>
        <v>0</v>
      </c>
      <c r="BE34" s="192">
        <f t="shared" ref="BE34" si="85">+IF(Q34="A",L34,0)</f>
        <v>0</v>
      </c>
      <c r="BF34" s="192">
        <f t="shared" si="10"/>
        <v>1.0640000000000001</v>
      </c>
      <c r="BG34" s="192">
        <f t="shared" si="22"/>
        <v>0</v>
      </c>
      <c r="BH34" s="192">
        <f t="shared" si="23"/>
        <v>0</v>
      </c>
      <c r="BI34" s="122"/>
      <c r="BJ34" s="123"/>
      <c r="BL34" s="125">
        <f t="shared" ref="BL34" si="86">+IF(N34="AF",L34,0)</f>
        <v>1.33</v>
      </c>
      <c r="BM34" s="125">
        <f t="shared" ref="BM34" si="87">+IF(O34="SP",K34,0)</f>
        <v>0</v>
      </c>
    </row>
    <row r="35" spans="1:73" s="81" customFormat="1" ht="16.5" customHeight="1">
      <c r="A35" s="124" t="str">
        <f t="shared" si="12"/>
        <v>OK</v>
      </c>
      <c r="C35" s="748"/>
      <c r="D35" s="113"/>
      <c r="E35" s="114"/>
      <c r="F35" s="114">
        <f t="shared" si="33"/>
        <v>150</v>
      </c>
      <c r="G35" s="263" t="str">
        <f t="shared" si="34"/>
        <v>HD</v>
      </c>
      <c r="H35" s="115" t="str">
        <f t="shared" si="35"/>
        <v>K-9</v>
      </c>
      <c r="I35" s="117">
        <f t="shared" si="76"/>
        <v>944.88000009999985</v>
      </c>
      <c r="J35" s="264">
        <f t="shared" ref="J35" si="88">+I35+K35</f>
        <v>953.33000009999989</v>
      </c>
      <c r="K35" s="267">
        <v>8.4499999999999993</v>
      </c>
      <c r="L35" s="118">
        <f t="shared" ref="L35" si="89">+ROUND(K35*SQRT((M35/100)^2+1),2)</f>
        <v>8.82</v>
      </c>
      <c r="M35" s="116">
        <v>30.11</v>
      </c>
      <c r="N35" s="113" t="str">
        <f t="shared" si="37"/>
        <v>AF</v>
      </c>
      <c r="O35" s="115" t="s">
        <v>3</v>
      </c>
      <c r="P35" s="238">
        <f t="shared" ref="P35" si="90">+IF(O35="N",IF(X35&gt;1.75,"E",0),0)</f>
        <v>0</v>
      </c>
      <c r="Q35" s="238"/>
      <c r="R35" s="117">
        <f t="shared" si="57"/>
        <v>296.74</v>
      </c>
      <c r="S35" s="116">
        <v>296.70999999999998</v>
      </c>
      <c r="T35" s="117">
        <f t="shared" si="80"/>
        <v>295.474242</v>
      </c>
      <c r="U35" s="264">
        <v>295.48</v>
      </c>
      <c r="V35" s="117">
        <f t="shared" si="18"/>
        <v>1.2657580000000053</v>
      </c>
      <c r="W35" s="118">
        <f t="shared" si="19"/>
        <v>1.2299999999999613</v>
      </c>
      <c r="X35" s="189">
        <f t="shared" ref="X35" si="91">ROUND(AVERAGE(V35:W35),2)</f>
        <v>1.25</v>
      </c>
      <c r="Y35" s="145">
        <f t="shared" si="48"/>
        <v>0</v>
      </c>
      <c r="Z35" s="121">
        <f t="shared" si="48"/>
        <v>8.82</v>
      </c>
      <c r="AA35" s="121">
        <f t="shared" si="48"/>
        <v>0</v>
      </c>
      <c r="AB35" s="121">
        <f t="shared" si="48"/>
        <v>0</v>
      </c>
      <c r="AC35" s="121">
        <f t="shared" si="48"/>
        <v>0</v>
      </c>
      <c r="AD35" s="121">
        <f t="shared" si="48"/>
        <v>0</v>
      </c>
      <c r="AE35" s="121">
        <f t="shared" si="48"/>
        <v>0</v>
      </c>
      <c r="AF35" s="121">
        <f t="shared" si="48"/>
        <v>0</v>
      </c>
      <c r="AG35" s="121">
        <f t="shared" si="48"/>
        <v>0</v>
      </c>
      <c r="AH35" s="122">
        <f t="shared" si="48"/>
        <v>0</v>
      </c>
      <c r="AI35" s="145">
        <f t="shared" si="49"/>
        <v>0</v>
      </c>
      <c r="AJ35" s="121">
        <f t="shared" si="49"/>
        <v>0</v>
      </c>
      <c r="AK35" s="121">
        <f t="shared" si="49"/>
        <v>0</v>
      </c>
      <c r="AL35" s="121">
        <f t="shared" si="49"/>
        <v>0</v>
      </c>
      <c r="AM35" s="121">
        <f t="shared" si="49"/>
        <v>0</v>
      </c>
      <c r="AN35" s="121">
        <f t="shared" si="49"/>
        <v>0</v>
      </c>
      <c r="AO35" s="121">
        <f t="shared" si="49"/>
        <v>0</v>
      </c>
      <c r="AP35" s="121">
        <f t="shared" si="49"/>
        <v>0</v>
      </c>
      <c r="AQ35" s="121">
        <f t="shared" si="49"/>
        <v>0</v>
      </c>
      <c r="AR35" s="122">
        <f t="shared" si="49"/>
        <v>0</v>
      </c>
      <c r="AS35" s="145">
        <f t="shared" si="50"/>
        <v>0</v>
      </c>
      <c r="AT35" s="121">
        <f t="shared" si="50"/>
        <v>0</v>
      </c>
      <c r="AU35" s="121">
        <f t="shared" si="50"/>
        <v>0</v>
      </c>
      <c r="AV35" s="121">
        <f t="shared" si="50"/>
        <v>0</v>
      </c>
      <c r="AW35" s="121">
        <f t="shared" si="50"/>
        <v>0</v>
      </c>
      <c r="AX35" s="121">
        <f t="shared" si="50"/>
        <v>0</v>
      </c>
      <c r="AY35" s="121">
        <f t="shared" si="50"/>
        <v>0</v>
      </c>
      <c r="AZ35" s="121">
        <f t="shared" si="50"/>
        <v>0</v>
      </c>
      <c r="BA35" s="121">
        <f t="shared" si="50"/>
        <v>0</v>
      </c>
      <c r="BB35" s="122">
        <f t="shared" si="50"/>
        <v>0</v>
      </c>
      <c r="BC35" s="145">
        <f t="shared" ref="BC35" si="92">+IF(N35="SP",L35,0)</f>
        <v>0</v>
      </c>
      <c r="BD35" s="192">
        <f t="shared" ref="BD35" si="93">+IF(P35="E",L35,0)</f>
        <v>0</v>
      </c>
      <c r="BE35" s="192">
        <f t="shared" ref="BE35" si="94">+IF(Q35="A",L35,0)</f>
        <v>0</v>
      </c>
      <c r="BF35" s="192">
        <f t="shared" si="10"/>
        <v>7.0560000000000009</v>
      </c>
      <c r="BG35" s="192">
        <f t="shared" si="22"/>
        <v>0</v>
      </c>
      <c r="BH35" s="192">
        <f t="shared" si="23"/>
        <v>0</v>
      </c>
      <c r="BI35" s="122"/>
      <c r="BJ35" s="123"/>
      <c r="BL35" s="125">
        <f t="shared" ref="BL35" si="95">+IF(N35="AF",L35,0)</f>
        <v>8.82</v>
      </c>
      <c r="BM35" s="125">
        <f t="shared" ref="BM35" si="96">+IF(O35="SP",K35,0)</f>
        <v>0</v>
      </c>
    </row>
    <row r="36" spans="1:73" s="81" customFormat="1" ht="16.5" customHeight="1">
      <c r="A36" s="124" t="str">
        <f t="shared" si="12"/>
        <v>OK</v>
      </c>
      <c r="C36" s="748"/>
      <c r="D36" s="113"/>
      <c r="E36" s="114"/>
      <c r="F36" s="114">
        <f t="shared" si="33"/>
        <v>150</v>
      </c>
      <c r="G36" s="263" t="str">
        <f t="shared" si="34"/>
        <v>HD</v>
      </c>
      <c r="H36" s="115" t="str">
        <f t="shared" si="35"/>
        <v>K-9</v>
      </c>
      <c r="I36" s="117">
        <f>J35</f>
        <v>953.33000009999989</v>
      </c>
      <c r="J36" s="264">
        <f t="shared" si="36"/>
        <v>956.16000009999993</v>
      </c>
      <c r="K36" s="267">
        <f>11.28-K35</f>
        <v>2.83</v>
      </c>
      <c r="L36" s="118">
        <f t="shared" si="15"/>
        <v>2.83</v>
      </c>
      <c r="M36" s="116">
        <v>-2.66</v>
      </c>
      <c r="N36" s="113" t="s">
        <v>219</v>
      </c>
      <c r="O36" s="115" t="s">
        <v>3</v>
      </c>
      <c r="P36" s="238">
        <f t="shared" si="3"/>
        <v>0</v>
      </c>
      <c r="Q36" s="238" t="s">
        <v>205</v>
      </c>
      <c r="R36" s="117">
        <f t="shared" si="57"/>
        <v>296.70999999999998</v>
      </c>
      <c r="S36" s="116">
        <v>297.41000000000003</v>
      </c>
      <c r="T36" s="117">
        <f t="shared" si="80"/>
        <v>295.48</v>
      </c>
      <c r="U36" s="264">
        <v>295.18</v>
      </c>
      <c r="V36" s="117">
        <f t="shared" si="18"/>
        <v>1.2299999999999613</v>
      </c>
      <c r="W36" s="118">
        <f t="shared" si="19"/>
        <v>2.2300000000000182</v>
      </c>
      <c r="X36" s="189">
        <f t="shared" si="6"/>
        <v>1.73</v>
      </c>
      <c r="Y36" s="145">
        <f t="shared" si="48"/>
        <v>0</v>
      </c>
      <c r="Z36" s="121">
        <f t="shared" si="48"/>
        <v>0</v>
      </c>
      <c r="AA36" s="121">
        <f t="shared" si="48"/>
        <v>0</v>
      </c>
      <c r="AB36" s="308">
        <f t="shared" si="48"/>
        <v>2.83</v>
      </c>
      <c r="AC36" s="121">
        <f t="shared" si="48"/>
        <v>0</v>
      </c>
      <c r="AD36" s="121">
        <f t="shared" si="48"/>
        <v>0</v>
      </c>
      <c r="AE36" s="121">
        <f t="shared" si="48"/>
        <v>0</v>
      </c>
      <c r="AF36" s="121">
        <f t="shared" si="48"/>
        <v>0</v>
      </c>
      <c r="AG36" s="121">
        <f t="shared" si="48"/>
        <v>0</v>
      </c>
      <c r="AH36" s="122">
        <f t="shared" si="48"/>
        <v>0</v>
      </c>
      <c r="AI36" s="145">
        <f t="shared" si="49"/>
        <v>0</v>
      </c>
      <c r="AJ36" s="121">
        <f t="shared" si="49"/>
        <v>0</v>
      </c>
      <c r="AK36" s="121">
        <f t="shared" si="49"/>
        <v>0</v>
      </c>
      <c r="AL36" s="121">
        <f t="shared" si="49"/>
        <v>0</v>
      </c>
      <c r="AM36" s="121">
        <f t="shared" si="49"/>
        <v>0</v>
      </c>
      <c r="AN36" s="121">
        <f t="shared" si="49"/>
        <v>0</v>
      </c>
      <c r="AO36" s="121">
        <f t="shared" si="49"/>
        <v>0</v>
      </c>
      <c r="AP36" s="121">
        <f t="shared" si="49"/>
        <v>0</v>
      </c>
      <c r="AQ36" s="121">
        <f t="shared" si="49"/>
        <v>0</v>
      </c>
      <c r="AR36" s="122">
        <f t="shared" si="49"/>
        <v>0</v>
      </c>
      <c r="AS36" s="145">
        <f t="shared" si="50"/>
        <v>0</v>
      </c>
      <c r="AT36" s="121">
        <f t="shared" si="50"/>
        <v>0</v>
      </c>
      <c r="AU36" s="121">
        <f t="shared" si="50"/>
        <v>0</v>
      </c>
      <c r="AV36" s="121">
        <f t="shared" si="50"/>
        <v>0</v>
      </c>
      <c r="AW36" s="121">
        <f t="shared" si="50"/>
        <v>0</v>
      </c>
      <c r="AX36" s="121">
        <f t="shared" si="50"/>
        <v>0</v>
      </c>
      <c r="AY36" s="121">
        <f t="shared" si="50"/>
        <v>0</v>
      </c>
      <c r="AZ36" s="121">
        <f t="shared" si="50"/>
        <v>0</v>
      </c>
      <c r="BA36" s="121">
        <f t="shared" si="50"/>
        <v>0</v>
      </c>
      <c r="BB36" s="122">
        <f t="shared" si="50"/>
        <v>0</v>
      </c>
      <c r="BC36" s="145">
        <f t="shared" si="38"/>
        <v>0</v>
      </c>
      <c r="BD36" s="192">
        <f t="shared" si="20"/>
        <v>0</v>
      </c>
      <c r="BE36" s="192">
        <f t="shared" si="21"/>
        <v>2.83</v>
      </c>
      <c r="BF36" s="192">
        <f t="shared" si="10"/>
        <v>0</v>
      </c>
      <c r="BG36" s="192">
        <f t="shared" si="22"/>
        <v>0</v>
      </c>
      <c r="BH36" s="192">
        <f t="shared" si="23"/>
        <v>5.2355</v>
      </c>
      <c r="BI36" s="122"/>
      <c r="BJ36" s="123"/>
      <c r="BL36" s="125">
        <f t="shared" si="11"/>
        <v>0</v>
      </c>
      <c r="BM36" s="125">
        <f t="shared" si="24"/>
        <v>0</v>
      </c>
    </row>
    <row r="37" spans="1:73" s="81" customFormat="1" ht="16.5" customHeight="1">
      <c r="A37" s="124" t="str">
        <f t="shared" si="12"/>
        <v>OK</v>
      </c>
      <c r="C37" s="748"/>
      <c r="D37" s="113"/>
      <c r="E37" s="114"/>
      <c r="F37" s="114">
        <f t="shared" si="33"/>
        <v>150</v>
      </c>
      <c r="G37" s="263" t="str">
        <f t="shared" si="34"/>
        <v>HD</v>
      </c>
      <c r="H37" s="115" t="str">
        <f t="shared" si="35"/>
        <v>K-9</v>
      </c>
      <c r="I37" s="117">
        <f t="shared" si="53"/>
        <v>956.16000009999993</v>
      </c>
      <c r="J37" s="264">
        <f t="shared" si="36"/>
        <v>965.74000009999997</v>
      </c>
      <c r="K37" s="267">
        <v>9.58</v>
      </c>
      <c r="L37" s="118">
        <f t="shared" si="15"/>
        <v>10.28</v>
      </c>
      <c r="M37" s="116">
        <v>39.04</v>
      </c>
      <c r="N37" s="113" t="str">
        <f t="shared" si="37"/>
        <v>G</v>
      </c>
      <c r="O37" s="115" t="s">
        <v>3</v>
      </c>
      <c r="P37" s="238">
        <f t="shared" si="3"/>
        <v>0</v>
      </c>
      <c r="Q37" s="238" t="s">
        <v>205</v>
      </c>
      <c r="R37" s="117">
        <f t="shared" si="57"/>
        <v>297.41000000000003</v>
      </c>
      <c r="S37" s="116">
        <v>299.81</v>
      </c>
      <c r="T37" s="117">
        <f t="shared" si="80"/>
        <v>295.18</v>
      </c>
      <c r="U37" s="264">
        <f t="shared" si="51"/>
        <v>298.92003199999999</v>
      </c>
      <c r="V37" s="117">
        <f t="shared" si="18"/>
        <v>2.2300000000000182</v>
      </c>
      <c r="W37" s="118">
        <f t="shared" si="19"/>
        <v>0.88996800000001031</v>
      </c>
      <c r="X37" s="189">
        <f t="shared" si="6"/>
        <v>1.56</v>
      </c>
      <c r="Y37" s="145">
        <f t="shared" si="48"/>
        <v>0</v>
      </c>
      <c r="Z37" s="121">
        <f t="shared" si="48"/>
        <v>0</v>
      </c>
      <c r="AA37" s="121">
        <f t="shared" si="48"/>
        <v>0</v>
      </c>
      <c r="AB37" s="308">
        <f t="shared" si="48"/>
        <v>10.28</v>
      </c>
      <c r="AC37" s="121">
        <f t="shared" si="48"/>
        <v>0</v>
      </c>
      <c r="AD37" s="121">
        <f t="shared" si="48"/>
        <v>0</v>
      </c>
      <c r="AE37" s="121">
        <f t="shared" si="48"/>
        <v>0</v>
      </c>
      <c r="AF37" s="121">
        <f t="shared" si="48"/>
        <v>0</v>
      </c>
      <c r="AG37" s="121">
        <f t="shared" si="48"/>
        <v>0</v>
      </c>
      <c r="AH37" s="122">
        <f t="shared" si="48"/>
        <v>0</v>
      </c>
      <c r="AI37" s="145">
        <f t="shared" si="49"/>
        <v>0</v>
      </c>
      <c r="AJ37" s="121">
        <f t="shared" si="49"/>
        <v>0</v>
      </c>
      <c r="AK37" s="121">
        <f t="shared" si="49"/>
        <v>0</v>
      </c>
      <c r="AL37" s="121">
        <f t="shared" si="49"/>
        <v>0</v>
      </c>
      <c r="AM37" s="121">
        <f t="shared" si="49"/>
        <v>0</v>
      </c>
      <c r="AN37" s="121">
        <f t="shared" si="49"/>
        <v>0</v>
      </c>
      <c r="AO37" s="121">
        <f t="shared" si="49"/>
        <v>0</v>
      </c>
      <c r="AP37" s="121">
        <f t="shared" si="49"/>
        <v>0</v>
      </c>
      <c r="AQ37" s="121">
        <f t="shared" si="49"/>
        <v>0</v>
      </c>
      <c r="AR37" s="122">
        <f t="shared" si="49"/>
        <v>0</v>
      </c>
      <c r="AS37" s="145">
        <f t="shared" si="50"/>
        <v>0</v>
      </c>
      <c r="AT37" s="121">
        <f t="shared" si="50"/>
        <v>0</v>
      </c>
      <c r="AU37" s="121">
        <f t="shared" si="50"/>
        <v>0</v>
      </c>
      <c r="AV37" s="121">
        <f t="shared" si="50"/>
        <v>0</v>
      </c>
      <c r="AW37" s="121">
        <f t="shared" si="50"/>
        <v>0</v>
      </c>
      <c r="AX37" s="121">
        <f t="shared" si="50"/>
        <v>0</v>
      </c>
      <c r="AY37" s="121">
        <f t="shared" si="50"/>
        <v>0</v>
      </c>
      <c r="AZ37" s="121">
        <f t="shared" si="50"/>
        <v>0</v>
      </c>
      <c r="BA37" s="121">
        <f t="shared" si="50"/>
        <v>0</v>
      </c>
      <c r="BB37" s="122">
        <f t="shared" si="50"/>
        <v>0</v>
      </c>
      <c r="BC37" s="145">
        <f t="shared" si="38"/>
        <v>0</v>
      </c>
      <c r="BD37" s="192">
        <f t="shared" si="20"/>
        <v>0</v>
      </c>
      <c r="BE37" s="192">
        <f t="shared" si="21"/>
        <v>10.28</v>
      </c>
      <c r="BF37" s="192">
        <f t="shared" si="10"/>
        <v>0</v>
      </c>
      <c r="BG37" s="192">
        <f t="shared" si="22"/>
        <v>0</v>
      </c>
      <c r="BH37" s="192">
        <f t="shared" si="23"/>
        <v>19.017999999999997</v>
      </c>
      <c r="BI37" s="122"/>
      <c r="BJ37" s="123"/>
      <c r="BL37" s="125">
        <f t="shared" si="11"/>
        <v>0</v>
      </c>
      <c r="BM37" s="125">
        <f t="shared" si="24"/>
        <v>0</v>
      </c>
    </row>
    <row r="38" spans="1:73" s="81" customFormat="1" ht="12.75" customHeight="1">
      <c r="C38" s="759"/>
      <c r="D38" s="178"/>
      <c r="E38" s="179"/>
      <c r="F38" s="179"/>
      <c r="G38" s="179"/>
      <c r="H38" s="180"/>
      <c r="I38" s="181"/>
      <c r="J38" s="182"/>
      <c r="K38" s="203"/>
      <c r="L38" s="204">
        <f>SUM(L14:L37)</f>
        <v>971.22000000000037</v>
      </c>
      <c r="M38" s="184"/>
      <c r="N38" s="204">
        <f>SUM(N14:N37)</f>
        <v>0</v>
      </c>
      <c r="O38" s="180"/>
      <c r="P38" s="239"/>
      <c r="Q38" s="239"/>
      <c r="R38" s="181"/>
      <c r="S38" s="182"/>
      <c r="T38" s="181"/>
      <c r="U38" s="182"/>
      <c r="V38" s="181"/>
      <c r="W38" s="183"/>
      <c r="X38" s="190"/>
      <c r="Y38" s="220">
        <f t="shared" ref="Y38:BH38" si="97">SUM(Y14:Y37)</f>
        <v>0</v>
      </c>
      <c r="Z38" s="221">
        <f t="shared" si="97"/>
        <v>8.82</v>
      </c>
      <c r="AA38" s="221">
        <f>SUM(AA14:AA37)</f>
        <v>329.00999999999993</v>
      </c>
      <c r="AB38" s="221">
        <f t="shared" si="97"/>
        <v>550.49</v>
      </c>
      <c r="AC38" s="221">
        <f t="shared" si="97"/>
        <v>20.98</v>
      </c>
      <c r="AD38" s="221">
        <f t="shared" si="97"/>
        <v>61.92</v>
      </c>
      <c r="AE38" s="221">
        <f t="shared" si="97"/>
        <v>0</v>
      </c>
      <c r="AF38" s="221">
        <f t="shared" si="97"/>
        <v>0</v>
      </c>
      <c r="AG38" s="221">
        <f t="shared" si="97"/>
        <v>0</v>
      </c>
      <c r="AH38" s="222">
        <f t="shared" si="97"/>
        <v>0</v>
      </c>
      <c r="AI38" s="226">
        <f t="shared" si="97"/>
        <v>0</v>
      </c>
      <c r="AJ38" s="227">
        <f t="shared" si="97"/>
        <v>0</v>
      </c>
      <c r="AK38" s="227">
        <f t="shared" si="97"/>
        <v>0</v>
      </c>
      <c r="AL38" s="227">
        <f t="shared" si="97"/>
        <v>0</v>
      </c>
      <c r="AM38" s="227">
        <f t="shared" si="97"/>
        <v>0</v>
      </c>
      <c r="AN38" s="227">
        <f t="shared" si="97"/>
        <v>0</v>
      </c>
      <c r="AO38" s="227">
        <f t="shared" si="97"/>
        <v>0</v>
      </c>
      <c r="AP38" s="227">
        <f t="shared" si="97"/>
        <v>0</v>
      </c>
      <c r="AQ38" s="227">
        <f t="shared" si="97"/>
        <v>0</v>
      </c>
      <c r="AR38" s="228">
        <f t="shared" si="97"/>
        <v>0</v>
      </c>
      <c r="AS38" s="187">
        <f t="shared" si="97"/>
        <v>0</v>
      </c>
      <c r="AT38" s="194">
        <f t="shared" si="97"/>
        <v>0</v>
      </c>
      <c r="AU38" s="194">
        <f t="shared" si="97"/>
        <v>0</v>
      </c>
      <c r="AV38" s="194">
        <f t="shared" si="97"/>
        <v>0</v>
      </c>
      <c r="AW38" s="194">
        <f t="shared" si="97"/>
        <v>0</v>
      </c>
      <c r="AX38" s="194">
        <f t="shared" si="97"/>
        <v>0</v>
      </c>
      <c r="AY38" s="194">
        <f t="shared" si="97"/>
        <v>0</v>
      </c>
      <c r="AZ38" s="194">
        <f t="shared" si="97"/>
        <v>0</v>
      </c>
      <c r="BA38" s="194">
        <f t="shared" si="97"/>
        <v>0</v>
      </c>
      <c r="BB38" s="195">
        <f t="shared" si="97"/>
        <v>0</v>
      </c>
      <c r="BC38" s="223">
        <f t="shared" si="97"/>
        <v>285.90000000000003</v>
      </c>
      <c r="BD38" s="224">
        <f t="shared" si="97"/>
        <v>82.9</v>
      </c>
      <c r="BE38" s="224">
        <f t="shared" si="97"/>
        <v>94.53</v>
      </c>
      <c r="BF38" s="224">
        <f t="shared" si="97"/>
        <v>509.36800000000005</v>
      </c>
      <c r="BG38" s="224">
        <f>SUM(BG14:BG37)</f>
        <v>35.5</v>
      </c>
      <c r="BH38" s="224">
        <f t="shared" si="97"/>
        <v>24.253499999999995</v>
      </c>
      <c r="BI38" s="225"/>
      <c r="BJ38" s="123"/>
      <c r="BL38" s="125">
        <f t="shared" si="11"/>
        <v>0</v>
      </c>
      <c r="BM38" s="125"/>
      <c r="BS38" s="246">
        <v>0.2</v>
      </c>
      <c r="BT38" s="246" t="s">
        <v>132</v>
      </c>
      <c r="BU38" s="246">
        <v>0.2</v>
      </c>
    </row>
    <row r="39" spans="1:73" s="81" customFormat="1" ht="6" customHeight="1" thickBot="1">
      <c r="C39" s="127"/>
      <c r="D39" s="128"/>
      <c r="E39" s="129"/>
      <c r="F39" s="129"/>
      <c r="G39" s="129"/>
      <c r="H39" s="130"/>
      <c r="I39" s="131"/>
      <c r="J39" s="132"/>
      <c r="K39" s="131"/>
      <c r="L39" s="133"/>
      <c r="M39" s="134"/>
      <c r="N39" s="128"/>
      <c r="O39" s="130"/>
      <c r="P39" s="240"/>
      <c r="Q39" s="240"/>
      <c r="R39" s="131"/>
      <c r="S39" s="132"/>
      <c r="T39" s="131"/>
      <c r="U39" s="132"/>
      <c r="V39" s="131"/>
      <c r="W39" s="133"/>
      <c r="X39" s="191"/>
      <c r="Y39" s="146"/>
      <c r="Z39" s="137"/>
      <c r="AA39" s="137"/>
      <c r="AB39" s="137"/>
      <c r="AC39" s="137"/>
      <c r="AD39" s="137"/>
      <c r="AE39" s="137"/>
      <c r="AF39" s="137"/>
      <c r="AG39" s="137"/>
      <c r="AH39" s="138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46"/>
      <c r="AT39" s="137"/>
      <c r="AU39" s="137"/>
      <c r="AV39" s="137"/>
      <c r="AW39" s="137"/>
      <c r="AX39" s="137"/>
      <c r="AY39" s="137"/>
      <c r="AZ39" s="137"/>
      <c r="BA39" s="137"/>
      <c r="BB39" s="138"/>
      <c r="BC39" s="146">
        <f>+IF(N39="SP",L39,0)</f>
        <v>0</v>
      </c>
      <c r="BD39" s="233"/>
      <c r="BE39" s="233"/>
      <c r="BF39" s="233"/>
      <c r="BG39" s="233"/>
      <c r="BH39" s="233"/>
      <c r="BI39" s="138"/>
      <c r="BJ39" s="123"/>
      <c r="BL39" s="125"/>
      <c r="BM39" s="125"/>
    </row>
    <row r="40" spans="1:73" s="81" customFormat="1" ht="12" hidden="1" customHeight="1" thickBot="1">
      <c r="C40" s="150"/>
      <c r="D40" s="151"/>
      <c r="E40" s="151"/>
      <c r="F40" s="151"/>
      <c r="G40" s="151"/>
      <c r="H40" s="151"/>
      <c r="I40" s="125"/>
      <c r="J40" s="152"/>
      <c r="K40" s="153"/>
      <c r="L40" s="153"/>
      <c r="M40" s="154"/>
      <c r="N40" s="151"/>
      <c r="O40" s="151"/>
      <c r="P40" s="151"/>
      <c r="Q40" s="151"/>
      <c r="R40" s="125"/>
      <c r="S40" s="152"/>
      <c r="T40" s="125"/>
      <c r="U40" s="152"/>
      <c r="V40" s="159" t="s">
        <v>171</v>
      </c>
      <c r="W40" s="125"/>
      <c r="X40" s="125"/>
      <c r="Y40" s="123" t="e">
        <f>+#REF!*1.5</f>
        <v>#REF!</v>
      </c>
      <c r="Z40" s="123"/>
      <c r="AA40" s="123"/>
      <c r="AB40" s="123" t="e">
        <f>+#REF!*1.5</f>
        <v>#REF!</v>
      </c>
      <c r="AC40" s="123" t="e">
        <f>+#REF!*1.5</f>
        <v>#REF!</v>
      </c>
      <c r="AD40" s="123" t="e">
        <f>+#REF!*1.5</f>
        <v>#REF!</v>
      </c>
      <c r="AE40" s="123" t="e">
        <f>+#REF!*1.5</f>
        <v>#REF!</v>
      </c>
      <c r="AF40" s="123" t="e">
        <f>+#REF!*1.5</f>
        <v>#REF!</v>
      </c>
      <c r="AG40" s="123" t="e">
        <f>+#REF!*1.5</f>
        <v>#REF!</v>
      </c>
      <c r="AH40" s="123" t="e">
        <f>+#REF!*1.5</f>
        <v>#REF!</v>
      </c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57"/>
      <c r="BD40" s="234"/>
      <c r="BE40" s="234"/>
      <c r="BF40" s="234"/>
      <c r="BG40" s="234"/>
      <c r="BH40" s="234"/>
      <c r="BI40" s="158"/>
      <c r="BJ40" s="123"/>
      <c r="BL40" s="125"/>
      <c r="BM40" s="125"/>
    </row>
    <row r="41" spans="1:73" ht="15.75" customHeight="1" thickBot="1">
      <c r="C41" s="67"/>
      <c r="D41" s="67"/>
      <c r="E41" s="67"/>
      <c r="F41" s="67"/>
      <c r="G41" s="67"/>
      <c r="H41" s="67"/>
      <c r="I41" s="76"/>
      <c r="J41" s="76"/>
      <c r="K41" s="69"/>
      <c r="L41" s="69"/>
      <c r="M41" s="69"/>
      <c r="N41" s="69"/>
      <c r="O41" s="69"/>
      <c r="P41" s="69"/>
      <c r="Q41" s="67"/>
      <c r="R41" s="69"/>
      <c r="S41" s="69"/>
      <c r="T41" s="69"/>
      <c r="U41" s="69"/>
      <c r="V41" s="69"/>
      <c r="W41" s="69"/>
      <c r="X41" s="149"/>
      <c r="Y41" s="744">
        <f>SUM(Y38:AH38)</f>
        <v>971.21999999999991</v>
      </c>
      <c r="Z41" s="745"/>
      <c r="AA41" s="745"/>
      <c r="AB41" s="745"/>
      <c r="AC41" s="745"/>
      <c r="AD41" s="745"/>
      <c r="AE41" s="745"/>
      <c r="AF41" s="745"/>
      <c r="AG41" s="745"/>
      <c r="AH41" s="746"/>
      <c r="AI41" s="744">
        <f>SUM(AI38:AR38)</f>
        <v>0</v>
      </c>
      <c r="AJ41" s="745"/>
      <c r="AK41" s="745"/>
      <c r="AL41" s="745"/>
      <c r="AM41" s="745"/>
      <c r="AN41" s="745"/>
      <c r="AO41" s="745"/>
      <c r="AP41" s="745"/>
      <c r="AQ41" s="745"/>
      <c r="AR41" s="746"/>
      <c r="AS41" s="744">
        <f>SUM(AS38:BB38)</f>
        <v>0</v>
      </c>
      <c r="AT41" s="745"/>
      <c r="AU41" s="745"/>
      <c r="AV41" s="745"/>
      <c r="AW41" s="745"/>
      <c r="AX41" s="745"/>
      <c r="AY41" s="745"/>
      <c r="AZ41" s="745"/>
      <c r="BA41" s="745"/>
      <c r="BB41" s="746"/>
      <c r="BC41" s="229"/>
      <c r="BD41" s="229"/>
      <c r="BE41" s="229"/>
      <c r="BF41" s="229"/>
      <c r="BG41" s="229"/>
      <c r="BH41" s="229"/>
      <c r="BI41" s="229"/>
      <c r="BJ41" s="77"/>
      <c r="BL41" s="77"/>
      <c r="BM41" s="77"/>
    </row>
    <row r="42" spans="1:73" ht="7.5" customHeight="1">
      <c r="K42" s="69"/>
      <c r="L42" s="69"/>
      <c r="M42" s="69"/>
      <c r="N42" s="69"/>
      <c r="O42" s="69"/>
      <c r="P42" s="69"/>
      <c r="U42" s="69"/>
      <c r="V42" s="67"/>
      <c r="W42" s="67"/>
      <c r="X42" s="67"/>
    </row>
    <row r="43" spans="1:73">
      <c r="I43" s="70"/>
      <c r="K43" s="70"/>
      <c r="L43" s="70"/>
      <c r="M43" s="70"/>
      <c r="U43" s="69"/>
      <c r="V43" s="67"/>
      <c r="W43" s="67"/>
      <c r="X43" s="67"/>
    </row>
    <row r="44" spans="1:73">
      <c r="F44" s="288" t="s">
        <v>225</v>
      </c>
      <c r="G44" s="292"/>
      <c r="H44" s="292"/>
      <c r="I44" s="290"/>
      <c r="K44" s="290" t="s">
        <v>227</v>
      </c>
      <c r="L44" s="290" t="s">
        <v>229</v>
      </c>
      <c r="M44" s="290" t="s">
        <v>239</v>
      </c>
      <c r="N44" s="290" t="s">
        <v>226</v>
      </c>
      <c r="O44" s="291" t="s">
        <v>2</v>
      </c>
      <c r="P44" s="370" t="s">
        <v>228</v>
      </c>
      <c r="Q44" s="370"/>
      <c r="S44" s="729" t="s">
        <v>676</v>
      </c>
      <c r="T44" s="729"/>
      <c r="U44" s="729"/>
      <c r="BD44" s="241"/>
    </row>
    <row r="45" spans="1:73" ht="12.75" customHeight="1">
      <c r="F45" s="293" t="s">
        <v>232</v>
      </c>
      <c r="G45" s="295"/>
      <c r="H45" s="295"/>
      <c r="I45" s="296"/>
      <c r="J45" s="295"/>
      <c r="K45" s="295"/>
      <c r="L45" s="296"/>
      <c r="M45" s="298"/>
      <c r="N45" s="295"/>
      <c r="O45" s="295" t="s">
        <v>133</v>
      </c>
      <c r="P45" s="369">
        <f>SUM(P46:Q48)</f>
        <v>536.52800000000002</v>
      </c>
      <c r="Q45" s="369"/>
      <c r="S45" s="377" t="s">
        <v>1041</v>
      </c>
      <c r="T45" s="377" t="s">
        <v>1045</v>
      </c>
      <c r="U45" s="378">
        <v>1</v>
      </c>
    </row>
    <row r="46" spans="1:73">
      <c r="G46" s="247" t="s">
        <v>212</v>
      </c>
      <c r="I46" s="285"/>
      <c r="K46" s="70">
        <v>2</v>
      </c>
      <c r="L46" s="285">
        <v>0.6</v>
      </c>
      <c r="M46" s="285">
        <v>2.6</v>
      </c>
      <c r="N46" s="285">
        <v>2</v>
      </c>
      <c r="O46" s="285"/>
      <c r="P46" s="69">
        <f>+K46*(M46+2*L46)*(N46+2*L46)</f>
        <v>24.32</v>
      </c>
      <c r="Q46" s="69"/>
      <c r="S46" s="377" t="s">
        <v>1042</v>
      </c>
      <c r="T46" s="377" t="s">
        <v>1047</v>
      </c>
      <c r="U46" s="378">
        <v>1</v>
      </c>
    </row>
    <row r="47" spans="1:73">
      <c r="G47" s="247" t="s">
        <v>210</v>
      </c>
      <c r="I47" s="285"/>
      <c r="K47" s="70">
        <v>1</v>
      </c>
      <c r="L47" s="285"/>
      <c r="M47" s="285">
        <v>2.84</v>
      </c>
      <c r="N47" s="285"/>
      <c r="O47" s="285"/>
      <c r="P47" s="69">
        <f>+PRODUCT(K47:O47)</f>
        <v>2.84</v>
      </c>
      <c r="Q47" s="69"/>
    </row>
    <row r="48" spans="1:73">
      <c r="G48" s="247" t="s">
        <v>261</v>
      </c>
      <c r="I48" s="70"/>
      <c r="K48" s="70">
        <v>1</v>
      </c>
      <c r="L48" s="285"/>
      <c r="M48" s="285">
        <f>+BF38</f>
        <v>509.36800000000005</v>
      </c>
      <c r="N48" s="285"/>
      <c r="O48" s="285"/>
      <c r="P48" s="69">
        <f>+PRODUCT(K48:O48)</f>
        <v>509.36800000000005</v>
      </c>
      <c r="Q48" s="69"/>
      <c r="S48" s="729" t="s">
        <v>1057</v>
      </c>
      <c r="T48" s="729"/>
      <c r="U48" s="729"/>
    </row>
    <row r="49" spans="1:74">
      <c r="G49" s="247"/>
      <c r="I49" s="70"/>
      <c r="K49" s="70"/>
      <c r="L49" s="285"/>
      <c r="M49" s="285"/>
      <c r="N49" s="285"/>
      <c r="O49" s="285"/>
      <c r="P49" s="306"/>
      <c r="Q49" s="306"/>
      <c r="R49" s="285"/>
      <c r="S49" s="377" t="s">
        <v>1066</v>
      </c>
      <c r="T49" s="377" t="s">
        <v>1068</v>
      </c>
      <c r="U49" s="378">
        <v>1</v>
      </c>
      <c r="V49" s="285"/>
      <c r="W49" s="285"/>
      <c r="X49" s="285"/>
    </row>
    <row r="50" spans="1:74">
      <c r="F50" s="293" t="s">
        <v>233</v>
      </c>
      <c r="G50" s="295"/>
      <c r="H50" s="295"/>
      <c r="I50" s="296"/>
      <c r="J50" s="295"/>
      <c r="K50" s="295"/>
      <c r="L50" s="296"/>
      <c r="M50" s="296"/>
      <c r="N50" s="296"/>
      <c r="O50" s="296" t="s">
        <v>163</v>
      </c>
      <c r="P50" s="369">
        <v>1</v>
      </c>
      <c r="Q50" s="369"/>
      <c r="S50" s="377" t="s">
        <v>1066</v>
      </c>
      <c r="T50" s="377" t="s">
        <v>1069</v>
      </c>
      <c r="U50" s="378">
        <v>1</v>
      </c>
    </row>
    <row r="51" spans="1:74">
      <c r="G51" s="247" t="s">
        <v>276</v>
      </c>
      <c r="I51" s="70"/>
      <c r="K51" s="70">
        <v>1</v>
      </c>
      <c r="L51" s="285"/>
      <c r="M51" s="285">
        <v>1.1000000000000001</v>
      </c>
      <c r="N51" s="285"/>
      <c r="O51" s="285"/>
      <c r="P51" s="69">
        <f>+PRODUCT(K51:O51)</f>
        <v>1.1000000000000001</v>
      </c>
      <c r="Q51" s="69"/>
      <c r="S51" s="377" t="s">
        <v>1067</v>
      </c>
      <c r="T51" s="377" t="s">
        <v>1070</v>
      </c>
      <c r="U51" s="378">
        <v>1</v>
      </c>
    </row>
    <row r="52" spans="1:74">
      <c r="F52" s="67"/>
      <c r="G52" s="247"/>
      <c r="H52" s="285"/>
      <c r="I52" s="70"/>
      <c r="K52" s="70"/>
      <c r="L52" s="285"/>
      <c r="M52" s="285"/>
      <c r="N52" s="285"/>
      <c r="O52" s="285"/>
      <c r="P52" s="306"/>
      <c r="Q52" s="306"/>
    </row>
    <row r="53" spans="1:74">
      <c r="F53" s="293" t="s">
        <v>320</v>
      </c>
      <c r="G53" s="295"/>
      <c r="H53" s="295"/>
      <c r="I53" s="307"/>
      <c r="J53" s="295"/>
      <c r="K53" s="295"/>
      <c r="L53" s="307"/>
      <c r="M53" s="307"/>
      <c r="N53" s="307"/>
      <c r="O53" s="307" t="s">
        <v>163</v>
      </c>
      <c r="P53" s="369">
        <v>1</v>
      </c>
      <c r="Q53" s="369"/>
      <c r="R53" s="306"/>
      <c r="S53" s="377" t="s">
        <v>1149</v>
      </c>
      <c r="T53" s="377"/>
      <c r="U53" s="556">
        <f>+U56+U58+U60</f>
        <v>18</v>
      </c>
      <c r="V53" s="306"/>
      <c r="W53" s="306"/>
      <c r="X53" s="306"/>
    </row>
    <row r="54" spans="1:74">
      <c r="G54" s="247"/>
      <c r="I54" s="70"/>
      <c r="K54" s="70">
        <v>1</v>
      </c>
      <c r="L54" s="306"/>
      <c r="M54" s="306">
        <v>1</v>
      </c>
      <c r="N54" s="306"/>
      <c r="O54" s="306"/>
      <c r="P54" s="69">
        <f>+PRODUCT(K54:O54)</f>
        <v>1</v>
      </c>
      <c r="Q54" s="69"/>
      <c r="R54" s="306"/>
      <c r="S54" s="306"/>
      <c r="T54" s="306"/>
      <c r="U54" s="306"/>
      <c r="V54" s="306"/>
      <c r="W54" s="306"/>
      <c r="X54" s="306"/>
    </row>
    <row r="55" spans="1:74">
      <c r="F55" s="67"/>
      <c r="G55" s="247"/>
      <c r="H55" s="306"/>
      <c r="I55" s="70"/>
      <c r="K55" s="70"/>
      <c r="L55" s="306"/>
      <c r="M55" s="306"/>
      <c r="N55" s="306"/>
      <c r="O55" s="306"/>
      <c r="P55" s="306"/>
      <c r="Q55" s="306"/>
      <c r="R55" s="306"/>
      <c r="S55" s="557" t="s">
        <v>1125</v>
      </c>
      <c r="T55" s="377"/>
      <c r="U55" s="378"/>
      <c r="V55" s="306"/>
      <c r="W55" s="306"/>
      <c r="X55" s="306"/>
    </row>
    <row r="56" spans="1:74">
      <c r="F56" s="293" t="s">
        <v>236</v>
      </c>
      <c r="G56" s="295"/>
      <c r="H56" s="295"/>
      <c r="I56" s="296"/>
      <c r="J56" s="295"/>
      <c r="K56" s="295"/>
      <c r="L56" s="296"/>
      <c r="M56" s="296"/>
      <c r="N56" s="296"/>
      <c r="O56" s="296" t="s">
        <v>161</v>
      </c>
      <c r="P56" s="369">
        <f>SUM(P57:Q64)</f>
        <v>21</v>
      </c>
      <c r="Q56" s="369"/>
      <c r="S56" s="558" t="s">
        <v>1152</v>
      </c>
      <c r="T56" s="559">
        <v>55.2</v>
      </c>
      <c r="U56" s="559">
        <f>+ROUND(T56/6,0)</f>
        <v>9</v>
      </c>
    </row>
    <row r="57" spans="1:74">
      <c r="G57" s="247" t="s">
        <v>277</v>
      </c>
      <c r="I57" s="70"/>
      <c r="K57" s="70">
        <v>1</v>
      </c>
      <c r="L57" s="285"/>
      <c r="M57" s="285">
        <v>2</v>
      </c>
      <c r="N57" s="285"/>
      <c r="O57" s="285"/>
      <c r="P57" s="69">
        <v>3</v>
      </c>
      <c r="Q57" s="69"/>
      <c r="S57" s="557" t="s">
        <v>1126</v>
      </c>
      <c r="T57" s="377"/>
      <c r="U57" s="378"/>
    </row>
    <row r="58" spans="1:74">
      <c r="G58" s="247" t="s">
        <v>278</v>
      </c>
      <c r="I58" s="70"/>
      <c r="K58" s="70">
        <v>1</v>
      </c>
      <c r="L58" s="285"/>
      <c r="M58" s="285">
        <f t="shared" ref="M58:M63" si="98">+M57</f>
        <v>2</v>
      </c>
      <c r="N58" s="285"/>
      <c r="O58" s="285"/>
      <c r="P58" s="69">
        <v>3</v>
      </c>
      <c r="Q58" s="69"/>
      <c r="R58" s="285"/>
      <c r="S58" s="558" t="s">
        <v>1152</v>
      </c>
      <c r="T58" s="559">
        <v>42.4</v>
      </c>
      <c r="U58" s="559">
        <f>+ROUND(T58/6,0)</f>
        <v>7</v>
      </c>
      <c r="V58" s="285"/>
      <c r="W58" s="285"/>
      <c r="X58" s="285"/>
    </row>
    <row r="59" spans="1:74">
      <c r="G59" s="247" t="s">
        <v>279</v>
      </c>
      <c r="I59" s="70"/>
      <c r="K59" s="70">
        <v>1</v>
      </c>
      <c r="L59" s="285"/>
      <c r="M59" s="285">
        <f t="shared" si="98"/>
        <v>2</v>
      </c>
      <c r="N59" s="285"/>
      <c r="O59" s="285"/>
      <c r="P59" s="69">
        <v>3</v>
      </c>
      <c r="Q59" s="69"/>
      <c r="R59" s="285"/>
      <c r="S59" s="557" t="s">
        <v>1158</v>
      </c>
      <c r="T59" s="377"/>
      <c r="U59" s="378"/>
      <c r="V59" s="285"/>
      <c r="W59" s="285"/>
      <c r="X59" s="285"/>
    </row>
    <row r="60" spans="1:74">
      <c r="G60" s="247" t="s">
        <v>280</v>
      </c>
      <c r="I60" s="70"/>
      <c r="K60" s="70">
        <v>1</v>
      </c>
      <c r="L60" s="285"/>
      <c r="M60" s="285">
        <f t="shared" si="98"/>
        <v>2</v>
      </c>
      <c r="N60" s="285"/>
      <c r="O60" s="285"/>
      <c r="P60" s="69">
        <v>3</v>
      </c>
      <c r="Q60" s="69"/>
      <c r="R60" s="285"/>
      <c r="S60" s="558" t="s">
        <v>1152</v>
      </c>
      <c r="T60" s="559">
        <v>10.34</v>
      </c>
      <c r="U60" s="559">
        <f>+ROUND(T60/6,0)</f>
        <v>2</v>
      </c>
      <c r="V60" s="285"/>
      <c r="W60" s="285"/>
      <c r="X60" s="285"/>
    </row>
    <row r="61" spans="1:74">
      <c r="G61" s="247" t="s">
        <v>281</v>
      </c>
      <c r="I61" s="70"/>
      <c r="K61" s="70">
        <v>1</v>
      </c>
      <c r="L61" s="285"/>
      <c r="M61" s="285">
        <f t="shared" si="98"/>
        <v>2</v>
      </c>
      <c r="N61" s="285"/>
      <c r="O61" s="285"/>
      <c r="P61" s="69">
        <v>3</v>
      </c>
      <c r="Q61" s="69"/>
    </row>
    <row r="62" spans="1:74">
      <c r="G62" s="247" t="s">
        <v>282</v>
      </c>
      <c r="I62" s="70"/>
      <c r="K62" s="70">
        <v>1</v>
      </c>
      <c r="L62" s="285"/>
      <c r="M62" s="285">
        <f t="shared" si="98"/>
        <v>2</v>
      </c>
      <c r="N62" s="285"/>
      <c r="O62" s="285"/>
      <c r="P62" s="69">
        <v>3</v>
      </c>
      <c r="Q62" s="69"/>
    </row>
    <row r="63" spans="1:74">
      <c r="G63" s="247" t="s">
        <v>283</v>
      </c>
      <c r="I63" s="70"/>
      <c r="K63" s="70">
        <v>1</v>
      </c>
      <c r="L63" s="285"/>
      <c r="M63" s="285">
        <f t="shared" si="98"/>
        <v>2</v>
      </c>
      <c r="N63" s="285"/>
      <c r="O63" s="285"/>
      <c r="P63" s="69">
        <v>3</v>
      </c>
      <c r="Q63" s="69"/>
    </row>
    <row r="64" spans="1:74" s="70" customFormat="1">
      <c r="A64" s="67"/>
      <c r="B64" s="67"/>
      <c r="G64" s="247"/>
      <c r="K64" s="285"/>
      <c r="L64" s="285"/>
      <c r="M64" s="285"/>
      <c r="N64" s="285"/>
      <c r="O64" s="285"/>
      <c r="P64" s="69">
        <f t="shared" ref="P64:P73" si="99">+PRODUCT(J64:O64)</f>
        <v>0</v>
      </c>
      <c r="Q64" s="69"/>
      <c r="R64" s="78"/>
      <c r="S64" s="78"/>
      <c r="T64" s="78"/>
      <c r="U64" s="78"/>
      <c r="V64" s="78"/>
      <c r="W64" s="78"/>
      <c r="X64" s="78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N64" s="67"/>
      <c r="BO64" s="67"/>
      <c r="BP64" s="67"/>
      <c r="BQ64" s="67"/>
      <c r="BR64" s="67"/>
      <c r="BS64" s="67"/>
      <c r="BT64" s="67"/>
      <c r="BU64" s="67"/>
      <c r="BV64" s="67"/>
    </row>
    <row r="65" spans="1:74" s="70" customFormat="1">
      <c r="A65" s="67"/>
      <c r="B65" s="67"/>
      <c r="F65" s="293" t="s">
        <v>284</v>
      </c>
      <c r="G65" s="295"/>
      <c r="H65" s="295"/>
      <c r="I65" s="296"/>
      <c r="J65" s="295"/>
      <c r="K65" s="295"/>
      <c r="L65" s="296"/>
      <c r="M65" s="296"/>
      <c r="N65" s="296"/>
      <c r="O65" s="296" t="s">
        <v>133</v>
      </c>
      <c r="P65" s="369">
        <f>SUM(P66:Q68)</f>
        <v>39.5</v>
      </c>
      <c r="Q65" s="369"/>
      <c r="R65" s="78"/>
      <c r="S65" s="78"/>
      <c r="T65" s="78"/>
      <c r="U65" s="78"/>
      <c r="V65" s="78"/>
      <c r="W65" s="78"/>
      <c r="X65" s="78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N65" s="67"/>
      <c r="BO65" s="67"/>
      <c r="BP65" s="67"/>
      <c r="BQ65" s="67"/>
      <c r="BR65" s="67"/>
      <c r="BS65" s="67"/>
      <c r="BT65" s="67"/>
      <c r="BU65" s="67"/>
      <c r="BV65" s="67"/>
    </row>
    <row r="66" spans="1:74">
      <c r="G66" s="247" t="s">
        <v>285</v>
      </c>
      <c r="I66" s="70"/>
      <c r="K66" s="70">
        <v>1</v>
      </c>
      <c r="L66" s="285"/>
      <c r="M66" s="285">
        <v>2</v>
      </c>
      <c r="N66" s="285">
        <v>1</v>
      </c>
      <c r="O66" s="285"/>
      <c r="P66" s="69">
        <f>+PRODUCT(K66:O66)</f>
        <v>2</v>
      </c>
      <c r="Q66" s="69"/>
    </row>
    <row r="67" spans="1:74">
      <c r="G67" s="247" t="s">
        <v>286</v>
      </c>
      <c r="I67" s="70"/>
      <c r="K67" s="70">
        <v>1</v>
      </c>
      <c r="L67" s="285"/>
      <c r="M67" s="285">
        <v>2</v>
      </c>
      <c r="N67" s="285">
        <v>1</v>
      </c>
      <c r="O67" s="285"/>
      <c r="P67" s="69">
        <f t="shared" ref="P67:P68" si="100">+PRODUCT(K67:O67)</f>
        <v>2</v>
      </c>
      <c r="Q67" s="69"/>
      <c r="R67" s="285"/>
      <c r="S67" s="285"/>
      <c r="T67" s="285"/>
      <c r="U67" s="285"/>
      <c r="V67" s="285"/>
      <c r="W67" s="285"/>
      <c r="X67" s="285"/>
    </row>
    <row r="68" spans="1:74">
      <c r="G68" s="247" t="s">
        <v>287</v>
      </c>
      <c r="I68" s="70"/>
      <c r="K68" s="70">
        <v>1</v>
      </c>
      <c r="L68" s="285"/>
      <c r="M68" s="285">
        <f>+BG38</f>
        <v>35.5</v>
      </c>
      <c r="N68" s="285">
        <v>1</v>
      </c>
      <c r="O68" s="285"/>
      <c r="P68" s="69">
        <f t="shared" si="100"/>
        <v>35.5</v>
      </c>
      <c r="Q68" s="69"/>
      <c r="R68" s="285"/>
      <c r="S68" s="285"/>
      <c r="T68" s="285"/>
      <c r="U68" s="285"/>
      <c r="V68" s="285"/>
      <c r="W68" s="285"/>
      <c r="X68" s="285"/>
    </row>
    <row r="69" spans="1:74">
      <c r="G69" s="247"/>
      <c r="I69" s="70"/>
      <c r="K69" s="70"/>
      <c r="L69" s="285"/>
      <c r="M69" s="285"/>
      <c r="N69" s="285"/>
      <c r="O69" s="285"/>
      <c r="P69" s="306"/>
      <c r="Q69" s="306"/>
      <c r="R69" s="285"/>
      <c r="S69" s="285"/>
      <c r="T69" s="285"/>
      <c r="U69" s="285"/>
      <c r="V69" s="285"/>
      <c r="W69" s="285"/>
      <c r="X69" s="285"/>
    </row>
    <row r="70" spans="1:74">
      <c r="F70" s="293" t="s">
        <v>257</v>
      </c>
      <c r="G70" s="295"/>
      <c r="H70" s="295"/>
      <c r="I70" s="296"/>
      <c r="J70" s="295"/>
      <c r="K70" s="295"/>
      <c r="L70" s="296"/>
      <c r="M70" s="296"/>
      <c r="N70" s="296"/>
      <c r="O70" s="296" t="s">
        <v>133</v>
      </c>
      <c r="P70" s="369">
        <f>SUM(P71:Q73)</f>
        <v>19.5</v>
      </c>
      <c r="Q70" s="369"/>
    </row>
    <row r="71" spans="1:74">
      <c r="G71" s="247" t="s">
        <v>288</v>
      </c>
      <c r="I71" s="70"/>
      <c r="K71" s="70">
        <v>1</v>
      </c>
      <c r="L71" s="285"/>
      <c r="M71" s="285">
        <v>16.5</v>
      </c>
      <c r="N71" s="285">
        <v>1</v>
      </c>
      <c r="O71" s="285"/>
      <c r="P71" s="69">
        <f>+PRODUCT(K71:O71)</f>
        <v>16.5</v>
      </c>
      <c r="Q71" s="69"/>
    </row>
    <row r="72" spans="1:74">
      <c r="G72" s="247" t="s">
        <v>289</v>
      </c>
      <c r="I72" s="70"/>
      <c r="K72" s="70">
        <v>1</v>
      </c>
      <c r="L72" s="285"/>
      <c r="M72" s="285">
        <v>3</v>
      </c>
      <c r="N72" s="285">
        <v>1</v>
      </c>
      <c r="O72" s="285"/>
      <c r="P72" s="69">
        <f>+PRODUCT(K72:O72)</f>
        <v>3</v>
      </c>
      <c r="Q72" s="69"/>
    </row>
    <row r="73" spans="1:74">
      <c r="G73" s="247"/>
      <c r="I73" s="70"/>
      <c r="K73" s="285"/>
      <c r="L73" s="285"/>
      <c r="M73" s="285"/>
      <c r="N73" s="285"/>
      <c r="O73" s="285"/>
      <c r="P73" s="758">
        <f t="shared" si="99"/>
        <v>0</v>
      </c>
      <c r="Q73" s="758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O13" activePane="bottomRight" state="frozen"/>
      <selection pane="bottomRight"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0">
    <mergeCell ref="C3:BJ3"/>
    <mergeCell ref="C10:X10"/>
    <mergeCell ref="Y10:AH10"/>
    <mergeCell ref="AI10:AR10"/>
    <mergeCell ref="AS10:BB10"/>
    <mergeCell ref="BF10:BH10"/>
    <mergeCell ref="AI41:AR41"/>
    <mergeCell ref="AS41:BB41"/>
    <mergeCell ref="BL10:BL12"/>
    <mergeCell ref="BM10:BM12"/>
    <mergeCell ref="D11:E11"/>
    <mergeCell ref="F11:H11"/>
    <mergeCell ref="I11:J11"/>
    <mergeCell ref="R11:S11"/>
    <mergeCell ref="T11:U11"/>
    <mergeCell ref="S44:U44"/>
    <mergeCell ref="S48:U48"/>
    <mergeCell ref="P73:Q73"/>
    <mergeCell ref="C14:C38"/>
    <mergeCell ref="Y41:AH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64"/>
  <sheetViews>
    <sheetView showGridLines="0" showZeros="0" view="pageBreakPreview" topLeftCell="AF25" zoomScaleNormal="100" zoomScaleSheetLayoutView="100" workbookViewId="0">
      <selection activeCell="AV50" sqref="AV50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9.33203125" style="70" customWidth="1"/>
    <col min="17" max="17" width="4.88671875" style="70" customWidth="1"/>
    <col min="18" max="18" width="9.44140625" style="78" customWidth="1"/>
    <col min="19" max="19" width="13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1.886718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30" t="s">
        <v>268</v>
      </c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0"/>
      <c r="V3" s="730"/>
      <c r="W3" s="730"/>
      <c r="X3" s="730"/>
      <c r="Y3" s="730"/>
      <c r="Z3" s="730"/>
      <c r="AA3" s="730"/>
      <c r="AB3" s="730"/>
      <c r="AC3" s="730"/>
      <c r="AD3" s="730"/>
      <c r="AE3" s="730"/>
      <c r="AF3" s="730"/>
      <c r="AG3" s="730"/>
      <c r="AH3" s="730"/>
      <c r="AI3" s="730"/>
      <c r="AJ3" s="730"/>
      <c r="AK3" s="730"/>
      <c r="AL3" s="730"/>
      <c r="AM3" s="730"/>
      <c r="AN3" s="730"/>
      <c r="AO3" s="730"/>
      <c r="AP3" s="730"/>
      <c r="AQ3" s="730"/>
      <c r="AR3" s="730"/>
      <c r="AS3" s="730"/>
      <c r="AT3" s="730"/>
      <c r="AU3" s="730"/>
      <c r="AV3" s="730"/>
      <c r="AW3" s="730"/>
      <c r="AX3" s="730"/>
      <c r="AY3" s="730"/>
      <c r="AZ3" s="730"/>
      <c r="BA3" s="730"/>
      <c r="BB3" s="730"/>
      <c r="BC3" s="730"/>
      <c r="BD3" s="730"/>
      <c r="BE3" s="730"/>
      <c r="BF3" s="730"/>
      <c r="BG3" s="730"/>
      <c r="BH3" s="730"/>
      <c r="BI3" s="730"/>
      <c r="BJ3" s="730"/>
    </row>
    <row r="4" spans="1:72" ht="23.25" customHeight="1">
      <c r="C4" s="64" t="str">
        <f>+'RESUMEN GENERAL BASE'!C4</f>
        <v>Obra</v>
      </c>
      <c r="E4" s="6"/>
      <c r="F4" s="56" t="s">
        <v>325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80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1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M6" s="51"/>
      <c r="N6" s="51"/>
      <c r="O6" s="62"/>
      <c r="P6" s="62"/>
      <c r="Q6" s="62"/>
      <c r="R6" s="62"/>
      <c r="S6" s="62"/>
      <c r="T6" s="281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M7" s="51"/>
      <c r="N7" s="51"/>
      <c r="O7" s="62"/>
      <c r="P7" s="62"/>
      <c r="Q7" s="62"/>
      <c r="R7" s="62"/>
      <c r="S7" s="62"/>
      <c r="T7" s="281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2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6"/>
      <c r="J9" s="71"/>
      <c r="K9" s="71"/>
      <c r="L9" s="74"/>
      <c r="M9" s="72"/>
      <c r="N9" s="71"/>
      <c r="O9" s="71"/>
      <c r="P9" s="71"/>
      <c r="Q9" s="71"/>
      <c r="R9" s="176"/>
      <c r="S9" s="278"/>
      <c r="T9" s="278"/>
      <c r="U9" s="278"/>
      <c r="V9" s="75"/>
      <c r="W9" s="71"/>
      <c r="X9" s="71"/>
      <c r="Y9" s="174"/>
      <c r="Z9" s="174"/>
      <c r="AA9" s="174"/>
      <c r="AB9" s="174"/>
      <c r="AC9" s="174"/>
      <c r="AD9" s="174"/>
      <c r="AE9" s="174"/>
      <c r="AF9" s="174"/>
      <c r="AG9" s="174"/>
    </row>
    <row r="10" spans="1:72" s="81" customFormat="1" ht="12.75" customHeight="1">
      <c r="C10" s="731" t="s">
        <v>145</v>
      </c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2"/>
      <c r="O10" s="732"/>
      <c r="P10" s="732"/>
      <c r="Q10" s="732"/>
      <c r="R10" s="732"/>
      <c r="S10" s="732"/>
      <c r="T10" s="732"/>
      <c r="U10" s="732"/>
      <c r="V10" s="732"/>
      <c r="W10" s="732"/>
      <c r="X10" s="733"/>
      <c r="Y10" s="734" t="s">
        <v>138</v>
      </c>
      <c r="Z10" s="735"/>
      <c r="AA10" s="735"/>
      <c r="AB10" s="735"/>
      <c r="AC10" s="735"/>
      <c r="AD10" s="735"/>
      <c r="AE10" s="735"/>
      <c r="AF10" s="735"/>
      <c r="AG10" s="735"/>
      <c r="AH10" s="736"/>
      <c r="AI10" s="737" t="s">
        <v>180</v>
      </c>
      <c r="AJ10" s="738"/>
      <c r="AK10" s="738"/>
      <c r="AL10" s="738"/>
      <c r="AM10" s="738"/>
      <c r="AN10" s="738"/>
      <c r="AO10" s="738"/>
      <c r="AP10" s="738"/>
      <c r="AQ10" s="738"/>
      <c r="AR10" s="739"/>
      <c r="AS10" s="740" t="s">
        <v>181</v>
      </c>
      <c r="AT10" s="741"/>
      <c r="AU10" s="741"/>
      <c r="AV10" s="741"/>
      <c r="AW10" s="741"/>
      <c r="AX10" s="741"/>
      <c r="AY10" s="741"/>
      <c r="AZ10" s="741"/>
      <c r="BA10" s="741"/>
      <c r="BB10" s="742"/>
      <c r="BC10" s="205" t="s">
        <v>182</v>
      </c>
      <c r="BD10" s="257" t="s">
        <v>199</v>
      </c>
      <c r="BE10" s="243" t="s">
        <v>202</v>
      </c>
      <c r="BF10" s="743" t="s">
        <v>1</v>
      </c>
      <c r="BG10" s="743"/>
      <c r="BH10" s="743"/>
      <c r="BI10" s="258"/>
      <c r="BJ10" s="82"/>
      <c r="BL10" s="750" t="s">
        <v>136</v>
      </c>
      <c r="BM10" s="750" t="s">
        <v>137</v>
      </c>
    </row>
    <row r="11" spans="1:72" s="81" customFormat="1" ht="15" customHeight="1">
      <c r="C11" s="201" t="s">
        <v>143</v>
      </c>
      <c r="D11" s="753" t="s">
        <v>139</v>
      </c>
      <c r="E11" s="754"/>
      <c r="F11" s="754" t="s">
        <v>144</v>
      </c>
      <c r="G11" s="754"/>
      <c r="H11" s="755"/>
      <c r="I11" s="753" t="s">
        <v>135</v>
      </c>
      <c r="J11" s="755"/>
      <c r="K11" s="87" t="s">
        <v>140</v>
      </c>
      <c r="L11" s="88" t="s">
        <v>140</v>
      </c>
      <c r="M11" s="89" t="s">
        <v>141</v>
      </c>
      <c r="N11" s="254" t="s">
        <v>134</v>
      </c>
      <c r="O11" s="255" t="s">
        <v>134</v>
      </c>
      <c r="P11" s="235" t="s">
        <v>206</v>
      </c>
      <c r="Q11" s="235" t="s">
        <v>207</v>
      </c>
      <c r="R11" s="760" t="s">
        <v>178</v>
      </c>
      <c r="S11" s="761"/>
      <c r="T11" s="760" t="s">
        <v>179</v>
      </c>
      <c r="U11" s="761"/>
      <c r="V11" s="93" t="s">
        <v>142</v>
      </c>
      <c r="W11" s="94" t="s">
        <v>142</v>
      </c>
      <c r="X11" s="95" t="s">
        <v>142</v>
      </c>
      <c r="Y11" s="213">
        <v>0.61</v>
      </c>
      <c r="Z11" s="214">
        <v>1.01</v>
      </c>
      <c r="AA11" s="214">
        <v>1.26</v>
      </c>
      <c r="AB11" s="214">
        <v>1.51</v>
      </c>
      <c r="AC11" s="214">
        <f t="shared" ref="AC11:AG11" si="0">+AB12+0.01</f>
        <v>1.76</v>
      </c>
      <c r="AD11" s="214">
        <f t="shared" si="0"/>
        <v>2.0099999999999998</v>
      </c>
      <c r="AE11" s="214">
        <f t="shared" si="0"/>
        <v>2.5099999999999998</v>
      </c>
      <c r="AF11" s="214">
        <f t="shared" si="0"/>
        <v>3.01</v>
      </c>
      <c r="AG11" s="214">
        <f t="shared" si="0"/>
        <v>3.51</v>
      </c>
      <c r="AH11" s="215">
        <f>+AG12+0.01</f>
        <v>4.01</v>
      </c>
      <c r="AI11" s="206">
        <v>0.61</v>
      </c>
      <c r="AJ11" s="207">
        <v>1.01</v>
      </c>
      <c r="AK11" s="207">
        <v>1.26</v>
      </c>
      <c r="AL11" s="207">
        <v>1.51</v>
      </c>
      <c r="AM11" s="207">
        <f t="shared" ref="AM11:AQ11" si="1">+AL12+0.01</f>
        <v>1.76</v>
      </c>
      <c r="AN11" s="207">
        <f t="shared" si="1"/>
        <v>2.0099999999999998</v>
      </c>
      <c r="AO11" s="207">
        <f t="shared" si="1"/>
        <v>2.5099999999999998</v>
      </c>
      <c r="AP11" s="207">
        <f t="shared" si="1"/>
        <v>3.01</v>
      </c>
      <c r="AQ11" s="207">
        <f t="shared" si="1"/>
        <v>3.51</v>
      </c>
      <c r="AR11" s="208">
        <f>+AQ12+0.01</f>
        <v>4.01</v>
      </c>
      <c r="AS11" s="199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4" t="s">
        <v>183</v>
      </c>
      <c r="BD11" s="230" t="s">
        <v>200</v>
      </c>
      <c r="BE11" s="244" t="s">
        <v>203</v>
      </c>
      <c r="BF11" s="265"/>
      <c r="BG11" s="269"/>
      <c r="BH11" s="266"/>
      <c r="BI11" s="256"/>
      <c r="BJ11" s="82"/>
      <c r="BL11" s="751"/>
      <c r="BM11" s="751"/>
    </row>
    <row r="12" spans="1:72" s="81" customFormat="1" ht="15.75" customHeight="1" thickBot="1">
      <c r="C12" s="202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7" t="s">
        <v>148</v>
      </c>
      <c r="J12" s="86" t="s">
        <v>149</v>
      </c>
      <c r="K12" s="90" t="s">
        <v>146</v>
      </c>
      <c r="L12" s="91" t="s">
        <v>147</v>
      </c>
      <c r="M12" s="92" t="s">
        <v>215</v>
      </c>
      <c r="N12" s="84" t="s">
        <v>221</v>
      </c>
      <c r="O12" s="86" t="s">
        <v>152</v>
      </c>
      <c r="P12" s="236" t="s">
        <v>213</v>
      </c>
      <c r="Q12" s="236" t="s">
        <v>214</v>
      </c>
      <c r="R12" s="177" t="s">
        <v>153</v>
      </c>
      <c r="S12" s="96" t="s">
        <v>154</v>
      </c>
      <c r="T12" s="177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6">
        <v>1</v>
      </c>
      <c r="Z12" s="217">
        <v>1.25</v>
      </c>
      <c r="AA12" s="217">
        <v>1.5</v>
      </c>
      <c r="AB12" s="217">
        <v>1.75</v>
      </c>
      <c r="AC12" s="218">
        <v>2</v>
      </c>
      <c r="AD12" s="218">
        <v>2.5</v>
      </c>
      <c r="AE12" s="218">
        <v>3</v>
      </c>
      <c r="AF12" s="218">
        <v>3.5</v>
      </c>
      <c r="AG12" s="218">
        <v>4</v>
      </c>
      <c r="AH12" s="219">
        <v>4.5</v>
      </c>
      <c r="AI12" s="209">
        <v>1</v>
      </c>
      <c r="AJ12" s="210">
        <v>1.25</v>
      </c>
      <c r="AK12" s="210">
        <v>1.5</v>
      </c>
      <c r="AL12" s="210">
        <v>1.75</v>
      </c>
      <c r="AM12" s="211">
        <v>2</v>
      </c>
      <c r="AN12" s="211">
        <v>2.5</v>
      </c>
      <c r="AO12" s="211">
        <v>3</v>
      </c>
      <c r="AP12" s="211">
        <v>3.5</v>
      </c>
      <c r="AQ12" s="211">
        <v>4</v>
      </c>
      <c r="AR12" s="212">
        <v>4.5</v>
      </c>
      <c r="AS12" s="200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184</v>
      </c>
      <c r="BD12" s="231" t="s">
        <v>201</v>
      </c>
      <c r="BE12" s="245" t="s">
        <v>204</v>
      </c>
      <c r="BF12" s="242" t="s">
        <v>218</v>
      </c>
      <c r="BG12" s="242" t="s">
        <v>222</v>
      </c>
      <c r="BH12" s="242" t="s">
        <v>219</v>
      </c>
      <c r="BI12" s="148"/>
      <c r="BJ12" s="83"/>
      <c r="BL12" s="752"/>
      <c r="BM12" s="752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7"/>
      <c r="Q13" s="237"/>
      <c r="R13" s="108"/>
      <c r="S13" s="279"/>
      <c r="T13" s="108"/>
      <c r="U13" s="279"/>
      <c r="V13" s="108"/>
      <c r="W13" s="109"/>
      <c r="X13" s="188"/>
      <c r="Y13" s="193"/>
      <c r="Z13" s="100"/>
      <c r="AA13" s="100"/>
      <c r="AB13" s="100"/>
      <c r="AC13" s="110"/>
      <c r="AD13" s="110"/>
      <c r="AE13" s="110"/>
      <c r="AF13" s="110"/>
      <c r="AG13" s="110"/>
      <c r="AH13" s="111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2"/>
      <c r="BE13" s="232"/>
      <c r="BF13" s="232"/>
      <c r="BG13" s="232"/>
      <c r="BH13" s="232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47" t="s">
        <v>220</v>
      </c>
      <c r="D14" s="113"/>
      <c r="E14" s="114"/>
      <c r="F14" s="114">
        <v>100</v>
      </c>
      <c r="G14" s="114" t="s">
        <v>196</v>
      </c>
      <c r="H14" s="115" t="s">
        <v>197</v>
      </c>
      <c r="I14" s="268">
        <v>9.9999999999999995E-8</v>
      </c>
      <c r="J14" s="264">
        <f>+I14+K14</f>
        <v>4.5500001000000001</v>
      </c>
      <c r="K14" s="267">
        <v>4.55</v>
      </c>
      <c r="L14" s="118">
        <f>+ROUND(K14*SQRT((M14/100)^2+1),2)</f>
        <v>4.55</v>
      </c>
      <c r="M14" s="116">
        <v>0</v>
      </c>
      <c r="N14" s="113" t="s">
        <v>216</v>
      </c>
      <c r="O14" s="115" t="s">
        <v>4</v>
      </c>
      <c r="P14" s="238">
        <f t="shared" ref="P14:P32" si="3">+IF(O14="N",IF(X14&gt;1.75,"E",0),0)</f>
        <v>0</v>
      </c>
      <c r="Q14" s="238" t="s">
        <v>205</v>
      </c>
      <c r="R14" s="267">
        <v>467.66</v>
      </c>
      <c r="S14" s="116">
        <v>466.63</v>
      </c>
      <c r="T14" s="267">
        <v>465.81</v>
      </c>
      <c r="U14" s="264">
        <f t="shared" ref="U14:U32" si="4">+T14+K14*M14/100</f>
        <v>465.81</v>
      </c>
      <c r="V14" s="117">
        <f t="shared" ref="V14:W32" si="5">IF((R14-T14)&lt;0,0,R14-T14)</f>
        <v>1.8500000000000227</v>
      </c>
      <c r="W14" s="118">
        <f t="shared" si="5"/>
        <v>0.81999999999999318</v>
      </c>
      <c r="X14" s="189">
        <f t="shared" ref="X14:X32" si="6">ROUND(AVERAGE(V14:W14),2)</f>
        <v>1.34</v>
      </c>
      <c r="Y14" s="145">
        <f t="shared" ref="Y14:AH29" si="7">+IF($O14="N",IF($X14&gt;=Y$11,IF($X14&lt;=Y$12,$L14,0),0),0)</f>
        <v>0</v>
      </c>
      <c r="Z14" s="121">
        <f t="shared" si="7"/>
        <v>0</v>
      </c>
      <c r="AA14" s="121">
        <f t="shared" si="7"/>
        <v>0</v>
      </c>
      <c r="AB14" s="121">
        <f t="shared" si="7"/>
        <v>0</v>
      </c>
      <c r="AC14" s="121">
        <f t="shared" si="7"/>
        <v>0</v>
      </c>
      <c r="AD14" s="121">
        <f t="shared" si="7"/>
        <v>0</v>
      </c>
      <c r="AE14" s="121">
        <f t="shared" si="7"/>
        <v>0</v>
      </c>
      <c r="AF14" s="121">
        <f t="shared" si="7"/>
        <v>0</v>
      </c>
      <c r="AG14" s="121">
        <f t="shared" si="7"/>
        <v>0</v>
      </c>
      <c r="AH14" s="122">
        <f t="shared" si="7"/>
        <v>0</v>
      </c>
      <c r="AI14" s="145">
        <f t="shared" ref="AI14:AR29" si="8">+IF($O14="SR",IF($X14&gt;=AI$11,IF($X14&lt;=AI$12,$L14,0),0),0)</f>
        <v>0</v>
      </c>
      <c r="AJ14" s="121">
        <f t="shared" si="8"/>
        <v>0</v>
      </c>
      <c r="AK14" s="121">
        <f t="shared" si="8"/>
        <v>0</v>
      </c>
      <c r="AL14" s="121">
        <f t="shared" si="8"/>
        <v>0</v>
      </c>
      <c r="AM14" s="121">
        <f t="shared" si="8"/>
        <v>0</v>
      </c>
      <c r="AN14" s="121">
        <f t="shared" si="8"/>
        <v>0</v>
      </c>
      <c r="AO14" s="121">
        <f t="shared" si="8"/>
        <v>0</v>
      </c>
      <c r="AP14" s="121">
        <f t="shared" si="8"/>
        <v>0</v>
      </c>
      <c r="AQ14" s="121">
        <f t="shared" si="8"/>
        <v>0</v>
      </c>
      <c r="AR14" s="122">
        <f t="shared" si="8"/>
        <v>0</v>
      </c>
      <c r="AS14" s="145">
        <f t="shared" ref="AS14:BB29" si="9">+IF($O14="R",IF($X14&gt;=AS$11,IF($X14&lt;=AS$12,$L14,0),0),0)</f>
        <v>0</v>
      </c>
      <c r="AT14" s="121">
        <f t="shared" si="9"/>
        <v>0</v>
      </c>
      <c r="AU14" s="121">
        <f t="shared" si="9"/>
        <v>4.55</v>
      </c>
      <c r="AV14" s="121">
        <f t="shared" si="9"/>
        <v>0</v>
      </c>
      <c r="AW14" s="121">
        <f t="shared" si="9"/>
        <v>0</v>
      </c>
      <c r="AX14" s="121">
        <f t="shared" si="9"/>
        <v>0</v>
      </c>
      <c r="AY14" s="121">
        <f t="shared" si="9"/>
        <v>0</v>
      </c>
      <c r="AZ14" s="121">
        <f t="shared" si="9"/>
        <v>0</v>
      </c>
      <c r="BA14" s="121">
        <f t="shared" si="9"/>
        <v>0</v>
      </c>
      <c r="BB14" s="122">
        <f t="shared" si="9"/>
        <v>0</v>
      </c>
      <c r="BC14" s="145">
        <f>+L14</f>
        <v>4.55</v>
      </c>
      <c r="BD14" s="192">
        <f>+IF(P14="E",L14,0)</f>
        <v>0</v>
      </c>
      <c r="BE14" s="192">
        <f>+IF(Q14="A",L14,0)</f>
        <v>4.55</v>
      </c>
      <c r="BF14" s="192">
        <f t="shared" ref="BF14:BF32" si="10">+IF($N14=BF$12,$L14*(MAX($F14/1000+0.6,0.8)),0)</f>
        <v>0</v>
      </c>
      <c r="BG14" s="192">
        <f t="shared" ref="BG14:BG29" si="11">+IF($N14=BG$12,$L14*($F14/1000+0.6),0)</f>
        <v>0</v>
      </c>
      <c r="BH14" s="192">
        <f>+IF($N14=BH$12,$L14*($F14/1000+1.7),0)</f>
        <v>0</v>
      </c>
      <c r="BI14" s="122"/>
      <c r="BJ14" s="123"/>
      <c r="BL14" s="125">
        <f t="shared" ref="BL14:BL33" si="12">+IF(N14="AF",L14,0)</f>
        <v>0</v>
      </c>
      <c r="BM14" s="125"/>
      <c r="BT14" s="124" t="s">
        <v>209</v>
      </c>
    </row>
    <row r="15" spans="1:72" s="81" customFormat="1" ht="16.5" customHeight="1">
      <c r="A15" s="124" t="str">
        <f t="shared" ref="A15:A32" si="13">+IF(SUM(Y15:BB15)&gt;0,"OK","NO")</f>
        <v>OK</v>
      </c>
      <c r="C15" s="748"/>
      <c r="D15" s="113"/>
      <c r="E15" s="114"/>
      <c r="F15" s="114">
        <f t="shared" ref="F15:H30" si="14">+F14</f>
        <v>100</v>
      </c>
      <c r="G15" s="263" t="str">
        <f t="shared" si="14"/>
        <v>HD</v>
      </c>
      <c r="H15" s="115" t="str">
        <f t="shared" si="14"/>
        <v>K-9</v>
      </c>
      <c r="I15" s="117">
        <f t="shared" ref="I15:I32" si="15">J14</f>
        <v>4.5500001000000001</v>
      </c>
      <c r="J15" s="264">
        <f>+I15+K15</f>
        <v>50.570000100000001</v>
      </c>
      <c r="K15" s="267">
        <v>46.02</v>
      </c>
      <c r="L15" s="118">
        <f t="shared" ref="L15:L32" si="16">+ROUND(K15*SQRT((M15/100)^2+1),2)</f>
        <v>46.96</v>
      </c>
      <c r="M15" s="116">
        <v>-20.34</v>
      </c>
      <c r="N15" s="113" t="str">
        <f>+N14</f>
        <v>SP</v>
      </c>
      <c r="O15" s="115" t="str">
        <f>+O14</f>
        <v>R</v>
      </c>
      <c r="P15" s="238">
        <f t="shared" si="3"/>
        <v>0</v>
      </c>
      <c r="Q15" s="238" t="s">
        <v>205</v>
      </c>
      <c r="R15" s="117">
        <f t="shared" ref="R15:R32" si="17">S14</f>
        <v>466.63</v>
      </c>
      <c r="S15" s="116">
        <v>457.85</v>
      </c>
      <c r="T15" s="117">
        <f t="shared" ref="T15:T32" si="18">U14</f>
        <v>465.81</v>
      </c>
      <c r="U15" s="264">
        <v>456.43</v>
      </c>
      <c r="V15" s="117">
        <f t="shared" si="5"/>
        <v>0.81999999999999318</v>
      </c>
      <c r="W15" s="118">
        <f t="shared" si="5"/>
        <v>1.4200000000000159</v>
      </c>
      <c r="X15" s="189">
        <f t="shared" si="6"/>
        <v>1.1200000000000001</v>
      </c>
      <c r="Y15" s="145">
        <f t="shared" si="7"/>
        <v>0</v>
      </c>
      <c r="Z15" s="121">
        <f t="shared" si="7"/>
        <v>0</v>
      </c>
      <c r="AA15" s="121">
        <f t="shared" si="7"/>
        <v>0</v>
      </c>
      <c r="AB15" s="121">
        <f t="shared" si="7"/>
        <v>0</v>
      </c>
      <c r="AC15" s="121">
        <f t="shared" si="7"/>
        <v>0</v>
      </c>
      <c r="AD15" s="121">
        <f t="shared" si="7"/>
        <v>0</v>
      </c>
      <c r="AE15" s="121">
        <f t="shared" si="7"/>
        <v>0</v>
      </c>
      <c r="AF15" s="121">
        <f t="shared" si="7"/>
        <v>0</v>
      </c>
      <c r="AG15" s="121">
        <f t="shared" si="7"/>
        <v>0</v>
      </c>
      <c r="AH15" s="122">
        <f t="shared" si="7"/>
        <v>0</v>
      </c>
      <c r="AI15" s="145">
        <f t="shared" si="8"/>
        <v>0</v>
      </c>
      <c r="AJ15" s="121">
        <f t="shared" si="8"/>
        <v>0</v>
      </c>
      <c r="AK15" s="121">
        <f t="shared" si="8"/>
        <v>0</v>
      </c>
      <c r="AL15" s="121">
        <f t="shared" si="8"/>
        <v>0</v>
      </c>
      <c r="AM15" s="121">
        <f t="shared" si="8"/>
        <v>0</v>
      </c>
      <c r="AN15" s="121">
        <f t="shared" si="8"/>
        <v>0</v>
      </c>
      <c r="AO15" s="121">
        <f t="shared" si="8"/>
        <v>0</v>
      </c>
      <c r="AP15" s="121">
        <f t="shared" si="8"/>
        <v>0</v>
      </c>
      <c r="AQ15" s="121">
        <f t="shared" si="8"/>
        <v>0</v>
      </c>
      <c r="AR15" s="122">
        <f t="shared" si="8"/>
        <v>0</v>
      </c>
      <c r="AS15" s="145">
        <f t="shared" si="9"/>
        <v>0</v>
      </c>
      <c r="AT15" s="121">
        <f t="shared" si="9"/>
        <v>46.96</v>
      </c>
      <c r="AU15" s="121">
        <f t="shared" si="9"/>
        <v>0</v>
      </c>
      <c r="AV15" s="121">
        <f t="shared" si="9"/>
        <v>0</v>
      </c>
      <c r="AW15" s="121">
        <f t="shared" si="9"/>
        <v>0</v>
      </c>
      <c r="AX15" s="121">
        <f t="shared" si="9"/>
        <v>0</v>
      </c>
      <c r="AY15" s="121">
        <f t="shared" si="9"/>
        <v>0</v>
      </c>
      <c r="AZ15" s="121">
        <f t="shared" si="9"/>
        <v>0</v>
      </c>
      <c r="BA15" s="121">
        <f t="shared" si="9"/>
        <v>0</v>
      </c>
      <c r="BB15" s="122">
        <f t="shared" si="9"/>
        <v>0</v>
      </c>
      <c r="BC15" s="145">
        <f>+IF(N15="SP",L15,0)</f>
        <v>46.96</v>
      </c>
      <c r="BD15" s="192">
        <f t="shared" ref="BD15:BD32" si="19">+IF(P15="E",L15,0)</f>
        <v>0</v>
      </c>
      <c r="BE15" s="192">
        <f t="shared" ref="BE15:BE32" si="20">+IF(Q15="A",L15,0)</f>
        <v>46.96</v>
      </c>
      <c r="BF15" s="192">
        <f t="shared" si="10"/>
        <v>0</v>
      </c>
      <c r="BG15" s="192">
        <f t="shared" si="11"/>
        <v>0</v>
      </c>
      <c r="BH15" s="192">
        <f t="shared" ref="BH15:BH32" si="21">+IF($N15=BH$12,$L15*($F15/1000+1.7),0)</f>
        <v>0</v>
      </c>
      <c r="BI15" s="122"/>
      <c r="BJ15" s="123"/>
      <c r="BL15" s="125">
        <f t="shared" si="12"/>
        <v>0</v>
      </c>
      <c r="BM15" s="125">
        <f t="shared" ref="BM15:BM32" si="22">+IF(O15="SP",K15,0)</f>
        <v>0</v>
      </c>
    </row>
    <row r="16" spans="1:72" s="81" customFormat="1" ht="16.5" customHeight="1">
      <c r="A16" s="124" t="str">
        <f t="shared" si="13"/>
        <v>OK</v>
      </c>
      <c r="C16" s="748"/>
      <c r="D16" s="113"/>
      <c r="E16" s="114"/>
      <c r="F16" s="114">
        <f t="shared" si="14"/>
        <v>100</v>
      </c>
      <c r="G16" s="263" t="str">
        <f t="shared" si="14"/>
        <v>HD</v>
      </c>
      <c r="H16" s="115" t="str">
        <f t="shared" si="14"/>
        <v>K-9</v>
      </c>
      <c r="I16" s="117">
        <f t="shared" si="15"/>
        <v>50.570000100000001</v>
      </c>
      <c r="J16" s="264">
        <f>+I16+K16</f>
        <v>110.00000009999999</v>
      </c>
      <c r="K16" s="267">
        <v>59.43</v>
      </c>
      <c r="L16" s="118">
        <f t="shared" si="16"/>
        <v>59.47</v>
      </c>
      <c r="M16" s="116">
        <v>-3.74</v>
      </c>
      <c r="N16" s="113" t="str">
        <f t="shared" ref="N16:N32" si="23">+N15</f>
        <v>SP</v>
      </c>
      <c r="O16" s="115" t="str">
        <f t="shared" ref="O16:O32" si="24">+O15</f>
        <v>R</v>
      </c>
      <c r="P16" s="238">
        <f t="shared" si="3"/>
        <v>0</v>
      </c>
      <c r="Q16" s="238"/>
      <c r="R16" s="117">
        <f t="shared" si="17"/>
        <v>457.85</v>
      </c>
      <c r="S16" s="116">
        <v>455.48</v>
      </c>
      <c r="T16" s="117">
        <f t="shared" si="18"/>
        <v>456.43</v>
      </c>
      <c r="U16" s="264">
        <f t="shared" si="4"/>
        <v>454.20731799999999</v>
      </c>
      <c r="V16" s="117">
        <f t="shared" si="5"/>
        <v>1.4200000000000159</v>
      </c>
      <c r="W16" s="118">
        <f t="shared" si="5"/>
        <v>1.2726820000000316</v>
      </c>
      <c r="X16" s="189">
        <f t="shared" si="6"/>
        <v>1.35</v>
      </c>
      <c r="Y16" s="145">
        <f t="shared" si="7"/>
        <v>0</v>
      </c>
      <c r="Z16" s="121">
        <f t="shared" si="7"/>
        <v>0</v>
      </c>
      <c r="AA16" s="121">
        <f t="shared" si="7"/>
        <v>0</v>
      </c>
      <c r="AB16" s="121">
        <f t="shared" si="7"/>
        <v>0</v>
      </c>
      <c r="AC16" s="121">
        <f t="shared" si="7"/>
        <v>0</v>
      </c>
      <c r="AD16" s="121">
        <f t="shared" si="7"/>
        <v>0</v>
      </c>
      <c r="AE16" s="121">
        <f t="shared" si="7"/>
        <v>0</v>
      </c>
      <c r="AF16" s="121">
        <f t="shared" si="7"/>
        <v>0</v>
      </c>
      <c r="AG16" s="121">
        <f t="shared" si="7"/>
        <v>0</v>
      </c>
      <c r="AH16" s="122">
        <f t="shared" si="7"/>
        <v>0</v>
      </c>
      <c r="AI16" s="145">
        <f t="shared" si="8"/>
        <v>0</v>
      </c>
      <c r="AJ16" s="121">
        <f t="shared" si="8"/>
        <v>0</v>
      </c>
      <c r="AK16" s="121">
        <f t="shared" si="8"/>
        <v>0</v>
      </c>
      <c r="AL16" s="121">
        <f t="shared" si="8"/>
        <v>0</v>
      </c>
      <c r="AM16" s="121">
        <f t="shared" si="8"/>
        <v>0</v>
      </c>
      <c r="AN16" s="121">
        <f t="shared" si="8"/>
        <v>0</v>
      </c>
      <c r="AO16" s="121">
        <f t="shared" si="8"/>
        <v>0</v>
      </c>
      <c r="AP16" s="121">
        <f t="shared" si="8"/>
        <v>0</v>
      </c>
      <c r="AQ16" s="121">
        <f t="shared" si="8"/>
        <v>0</v>
      </c>
      <c r="AR16" s="122">
        <f t="shared" si="8"/>
        <v>0</v>
      </c>
      <c r="AS16" s="145">
        <f t="shared" si="9"/>
        <v>0</v>
      </c>
      <c r="AT16" s="121">
        <f t="shared" si="9"/>
        <v>0</v>
      </c>
      <c r="AU16" s="121">
        <f t="shared" si="9"/>
        <v>59.47</v>
      </c>
      <c r="AV16" s="121">
        <f t="shared" si="9"/>
        <v>0</v>
      </c>
      <c r="AW16" s="121">
        <f t="shared" si="9"/>
        <v>0</v>
      </c>
      <c r="AX16" s="121">
        <f t="shared" si="9"/>
        <v>0</v>
      </c>
      <c r="AY16" s="121">
        <f t="shared" si="9"/>
        <v>0</v>
      </c>
      <c r="AZ16" s="121">
        <f t="shared" si="9"/>
        <v>0</v>
      </c>
      <c r="BA16" s="121">
        <f t="shared" si="9"/>
        <v>0</v>
      </c>
      <c r="BB16" s="122">
        <f t="shared" si="9"/>
        <v>0</v>
      </c>
      <c r="BC16" s="145">
        <f>+IF(N16="SP",L16,0)</f>
        <v>59.47</v>
      </c>
      <c r="BD16" s="192">
        <f t="shared" si="19"/>
        <v>0</v>
      </c>
      <c r="BE16" s="192">
        <f t="shared" si="20"/>
        <v>0</v>
      </c>
      <c r="BF16" s="192">
        <f t="shared" si="10"/>
        <v>0</v>
      </c>
      <c r="BG16" s="192">
        <f t="shared" si="11"/>
        <v>0</v>
      </c>
      <c r="BH16" s="192">
        <f t="shared" si="21"/>
        <v>0</v>
      </c>
      <c r="BI16" s="122"/>
      <c r="BJ16" s="123"/>
      <c r="BL16" s="125">
        <f t="shared" si="12"/>
        <v>0</v>
      </c>
      <c r="BM16" s="125">
        <f t="shared" si="22"/>
        <v>0</v>
      </c>
    </row>
    <row r="17" spans="1:74" s="81" customFormat="1" ht="16.5" customHeight="1">
      <c r="A17" s="124" t="str">
        <f t="shared" si="13"/>
        <v>OK</v>
      </c>
      <c r="C17" s="748"/>
      <c r="D17" s="113"/>
      <c r="E17" s="114"/>
      <c r="F17" s="114">
        <f t="shared" si="14"/>
        <v>100</v>
      </c>
      <c r="G17" s="263" t="str">
        <f t="shared" si="14"/>
        <v>HD</v>
      </c>
      <c r="H17" s="115" t="str">
        <f t="shared" si="14"/>
        <v>K-9</v>
      </c>
      <c r="I17" s="117">
        <f t="shared" si="15"/>
        <v>110.00000009999999</v>
      </c>
      <c r="J17" s="264">
        <f t="shared" ref="J17:J32" si="25">+I17+K17</f>
        <v>159.92000009999998</v>
      </c>
      <c r="K17" s="267">
        <v>49.92</v>
      </c>
      <c r="L17" s="118">
        <f t="shared" si="16"/>
        <v>49.95</v>
      </c>
      <c r="M17" s="116">
        <f>+M16</f>
        <v>-3.74</v>
      </c>
      <c r="N17" s="113" t="s">
        <v>218</v>
      </c>
      <c r="O17" s="115" t="str">
        <f t="shared" si="24"/>
        <v>R</v>
      </c>
      <c r="P17" s="238">
        <f t="shared" si="3"/>
        <v>0</v>
      </c>
      <c r="Q17" s="238"/>
      <c r="R17" s="117">
        <f t="shared" si="17"/>
        <v>455.48</v>
      </c>
      <c r="S17" s="116">
        <v>454.06</v>
      </c>
      <c r="T17" s="117">
        <f t="shared" si="18"/>
        <v>454.20731799999999</v>
      </c>
      <c r="U17" s="264">
        <f t="shared" si="4"/>
        <v>452.34030999999999</v>
      </c>
      <c r="V17" s="117">
        <f t="shared" si="5"/>
        <v>1.2726820000000316</v>
      </c>
      <c r="W17" s="118">
        <f t="shared" si="5"/>
        <v>1.7196900000000142</v>
      </c>
      <c r="X17" s="189">
        <f t="shared" si="6"/>
        <v>1.5</v>
      </c>
      <c r="Y17" s="145">
        <f t="shared" si="7"/>
        <v>0</v>
      </c>
      <c r="Z17" s="121">
        <f t="shared" si="7"/>
        <v>0</v>
      </c>
      <c r="AA17" s="121">
        <f t="shared" si="7"/>
        <v>0</v>
      </c>
      <c r="AB17" s="121">
        <f t="shared" si="7"/>
        <v>0</v>
      </c>
      <c r="AC17" s="121">
        <f t="shared" si="7"/>
        <v>0</v>
      </c>
      <c r="AD17" s="121">
        <f t="shared" si="7"/>
        <v>0</v>
      </c>
      <c r="AE17" s="121">
        <f t="shared" si="7"/>
        <v>0</v>
      </c>
      <c r="AF17" s="121">
        <f t="shared" si="7"/>
        <v>0</v>
      </c>
      <c r="AG17" s="121">
        <f t="shared" si="7"/>
        <v>0</v>
      </c>
      <c r="AH17" s="122">
        <f t="shared" si="7"/>
        <v>0</v>
      </c>
      <c r="AI17" s="145">
        <f t="shared" si="8"/>
        <v>0</v>
      </c>
      <c r="AJ17" s="121">
        <f t="shared" si="8"/>
        <v>0</v>
      </c>
      <c r="AK17" s="121">
        <f t="shared" si="8"/>
        <v>0</v>
      </c>
      <c r="AL17" s="121">
        <f t="shared" si="8"/>
        <v>0</v>
      </c>
      <c r="AM17" s="121">
        <f t="shared" si="8"/>
        <v>0</v>
      </c>
      <c r="AN17" s="121">
        <f t="shared" si="8"/>
        <v>0</v>
      </c>
      <c r="AO17" s="121">
        <f t="shared" si="8"/>
        <v>0</v>
      </c>
      <c r="AP17" s="121">
        <f t="shared" si="8"/>
        <v>0</v>
      </c>
      <c r="AQ17" s="121">
        <f t="shared" si="8"/>
        <v>0</v>
      </c>
      <c r="AR17" s="122">
        <f t="shared" si="8"/>
        <v>0</v>
      </c>
      <c r="AS17" s="145">
        <f t="shared" si="9"/>
        <v>0</v>
      </c>
      <c r="AT17" s="121">
        <f t="shared" si="9"/>
        <v>0</v>
      </c>
      <c r="AU17" s="121">
        <f t="shared" si="9"/>
        <v>49.95</v>
      </c>
      <c r="AV17" s="121">
        <f t="shared" si="9"/>
        <v>0</v>
      </c>
      <c r="AW17" s="121">
        <f t="shared" si="9"/>
        <v>0</v>
      </c>
      <c r="AX17" s="121">
        <f t="shared" si="9"/>
        <v>0</v>
      </c>
      <c r="AY17" s="121">
        <f t="shared" si="9"/>
        <v>0</v>
      </c>
      <c r="AZ17" s="121">
        <f t="shared" si="9"/>
        <v>0</v>
      </c>
      <c r="BA17" s="121">
        <f t="shared" si="9"/>
        <v>0</v>
      </c>
      <c r="BB17" s="122">
        <f t="shared" si="9"/>
        <v>0</v>
      </c>
      <c r="BC17" s="145">
        <f>+IF(N17="SP",L17,0)</f>
        <v>0</v>
      </c>
      <c r="BD17" s="192">
        <f t="shared" si="19"/>
        <v>0</v>
      </c>
      <c r="BE17" s="192">
        <f t="shared" si="20"/>
        <v>0</v>
      </c>
      <c r="BF17" s="192">
        <f t="shared" si="10"/>
        <v>39.960000000000008</v>
      </c>
      <c r="BG17" s="192">
        <f t="shared" si="11"/>
        <v>0</v>
      </c>
      <c r="BH17" s="192">
        <f t="shared" si="21"/>
        <v>0</v>
      </c>
      <c r="BI17" s="122"/>
      <c r="BJ17" s="123"/>
      <c r="BL17" s="125">
        <f t="shared" si="12"/>
        <v>49.95</v>
      </c>
      <c r="BM17" s="125">
        <f t="shared" si="22"/>
        <v>0</v>
      </c>
      <c r="BR17" s="81">
        <v>0.1</v>
      </c>
      <c r="BT17" s="81" t="s">
        <v>208</v>
      </c>
      <c r="BV17" s="81">
        <v>0.1</v>
      </c>
    </row>
    <row r="18" spans="1:74" s="81" customFormat="1" ht="16.5" customHeight="1">
      <c r="A18" s="124" t="str">
        <f t="shared" si="13"/>
        <v>OK</v>
      </c>
      <c r="C18" s="748"/>
      <c r="D18" s="113"/>
      <c r="E18" s="114"/>
      <c r="F18" s="114">
        <f t="shared" si="14"/>
        <v>100</v>
      </c>
      <c r="G18" s="263" t="str">
        <f t="shared" si="14"/>
        <v>HD</v>
      </c>
      <c r="H18" s="115" t="str">
        <f t="shared" si="14"/>
        <v>K-9</v>
      </c>
      <c r="I18" s="117">
        <f t="shared" si="15"/>
        <v>159.92000009999998</v>
      </c>
      <c r="J18" s="264">
        <f t="shared" si="25"/>
        <v>216.46000009999997</v>
      </c>
      <c r="K18" s="267">
        <v>56.54</v>
      </c>
      <c r="L18" s="118">
        <f t="shared" si="16"/>
        <v>56.58</v>
      </c>
      <c r="M18" s="116">
        <f>+M17</f>
        <v>-3.74</v>
      </c>
      <c r="N18" s="113" t="str">
        <f>+N17</f>
        <v>AF</v>
      </c>
      <c r="O18" s="115" t="s">
        <v>3</v>
      </c>
      <c r="P18" s="238" t="str">
        <f t="shared" si="3"/>
        <v>E</v>
      </c>
      <c r="Q18" s="238"/>
      <c r="R18" s="117">
        <f t="shared" si="17"/>
        <v>454.06</v>
      </c>
      <c r="S18" s="116">
        <v>452.27</v>
      </c>
      <c r="T18" s="117">
        <f t="shared" si="18"/>
        <v>452.34030999999999</v>
      </c>
      <c r="U18" s="264">
        <f t="shared" si="4"/>
        <v>450.22571399999998</v>
      </c>
      <c r="V18" s="117">
        <f t="shared" si="5"/>
        <v>1.7196900000000142</v>
      </c>
      <c r="W18" s="118">
        <f t="shared" si="5"/>
        <v>2.0442859999999996</v>
      </c>
      <c r="X18" s="189">
        <f t="shared" si="6"/>
        <v>1.88</v>
      </c>
      <c r="Y18" s="145">
        <f t="shared" si="7"/>
        <v>0</v>
      </c>
      <c r="Z18" s="121">
        <f t="shared" si="7"/>
        <v>0</v>
      </c>
      <c r="AA18" s="121">
        <f t="shared" si="7"/>
        <v>0</v>
      </c>
      <c r="AB18" s="121">
        <f t="shared" si="7"/>
        <v>0</v>
      </c>
      <c r="AC18" s="121">
        <f t="shared" si="7"/>
        <v>56.58</v>
      </c>
      <c r="AD18" s="121">
        <f t="shared" si="7"/>
        <v>0</v>
      </c>
      <c r="AE18" s="121">
        <f t="shared" si="7"/>
        <v>0</v>
      </c>
      <c r="AF18" s="121">
        <f t="shared" si="7"/>
        <v>0</v>
      </c>
      <c r="AG18" s="121">
        <f t="shared" si="7"/>
        <v>0</v>
      </c>
      <c r="AH18" s="122">
        <f t="shared" si="7"/>
        <v>0</v>
      </c>
      <c r="AI18" s="145">
        <f t="shared" si="8"/>
        <v>0</v>
      </c>
      <c r="AJ18" s="121">
        <f t="shared" si="8"/>
        <v>0</v>
      </c>
      <c r="AK18" s="121">
        <f t="shared" si="8"/>
        <v>0</v>
      </c>
      <c r="AL18" s="121">
        <f t="shared" si="8"/>
        <v>0</v>
      </c>
      <c r="AM18" s="121">
        <f t="shared" si="8"/>
        <v>0</v>
      </c>
      <c r="AN18" s="121">
        <f t="shared" si="8"/>
        <v>0</v>
      </c>
      <c r="AO18" s="121">
        <f t="shared" si="8"/>
        <v>0</v>
      </c>
      <c r="AP18" s="121">
        <f t="shared" si="8"/>
        <v>0</v>
      </c>
      <c r="AQ18" s="121">
        <f t="shared" si="8"/>
        <v>0</v>
      </c>
      <c r="AR18" s="122">
        <f t="shared" si="8"/>
        <v>0</v>
      </c>
      <c r="AS18" s="145">
        <f t="shared" si="9"/>
        <v>0</v>
      </c>
      <c r="AT18" s="121">
        <f t="shared" si="9"/>
        <v>0</v>
      </c>
      <c r="AU18" s="121">
        <f t="shared" si="9"/>
        <v>0</v>
      </c>
      <c r="AV18" s="121">
        <f t="shared" si="9"/>
        <v>0</v>
      </c>
      <c r="AW18" s="121">
        <f t="shared" si="9"/>
        <v>0</v>
      </c>
      <c r="AX18" s="121">
        <f t="shared" si="9"/>
        <v>0</v>
      </c>
      <c r="AY18" s="121">
        <f t="shared" si="9"/>
        <v>0</v>
      </c>
      <c r="AZ18" s="121">
        <f t="shared" si="9"/>
        <v>0</v>
      </c>
      <c r="BA18" s="121">
        <f t="shared" si="9"/>
        <v>0</v>
      </c>
      <c r="BB18" s="122">
        <f t="shared" si="9"/>
        <v>0</v>
      </c>
      <c r="BC18" s="145">
        <f>+IF(N18="SP",L18,0)</f>
        <v>0</v>
      </c>
      <c r="BD18" s="192">
        <f t="shared" si="19"/>
        <v>56.58</v>
      </c>
      <c r="BE18" s="192">
        <f t="shared" si="20"/>
        <v>0</v>
      </c>
      <c r="BF18" s="192">
        <f t="shared" si="10"/>
        <v>45.264000000000003</v>
      </c>
      <c r="BG18" s="192">
        <f t="shared" si="11"/>
        <v>0</v>
      </c>
      <c r="BH18" s="192">
        <f t="shared" si="21"/>
        <v>0</v>
      </c>
      <c r="BI18" s="122"/>
      <c r="BJ18" s="123"/>
      <c r="BL18" s="125">
        <f t="shared" si="12"/>
        <v>56.58</v>
      </c>
      <c r="BM18" s="125">
        <f t="shared" si="22"/>
        <v>0</v>
      </c>
    </row>
    <row r="19" spans="1:74" s="81" customFormat="1" ht="16.5" customHeight="1">
      <c r="A19" s="124" t="str">
        <f t="shared" si="13"/>
        <v>OK</v>
      </c>
      <c r="C19" s="748"/>
      <c r="D19" s="113"/>
      <c r="E19" s="114"/>
      <c r="F19" s="114">
        <f t="shared" si="14"/>
        <v>100</v>
      </c>
      <c r="G19" s="263" t="str">
        <f t="shared" si="14"/>
        <v>HD</v>
      </c>
      <c r="H19" s="115" t="str">
        <f t="shared" si="14"/>
        <v>K-9</v>
      </c>
      <c r="I19" s="117">
        <f t="shared" si="15"/>
        <v>216.46000009999997</v>
      </c>
      <c r="J19" s="264">
        <f t="shared" si="25"/>
        <v>314.88000009999996</v>
      </c>
      <c r="K19" s="267">
        <v>98.42</v>
      </c>
      <c r="L19" s="118">
        <f t="shared" si="16"/>
        <v>98.73</v>
      </c>
      <c r="M19" s="116">
        <v>7.9</v>
      </c>
      <c r="N19" s="113" t="str">
        <f t="shared" si="23"/>
        <v>AF</v>
      </c>
      <c r="O19" s="115" t="str">
        <f t="shared" si="24"/>
        <v>N</v>
      </c>
      <c r="P19" s="238" t="str">
        <f t="shared" si="3"/>
        <v>E</v>
      </c>
      <c r="Q19" s="238"/>
      <c r="R19" s="117">
        <f t="shared" si="17"/>
        <v>452.27</v>
      </c>
      <c r="S19" s="116">
        <v>459.48</v>
      </c>
      <c r="T19" s="117">
        <f t="shared" si="18"/>
        <v>450.22571399999998</v>
      </c>
      <c r="U19" s="264">
        <f t="shared" si="4"/>
        <v>458.00089399999996</v>
      </c>
      <c r="V19" s="117">
        <f t="shared" si="5"/>
        <v>2.0442859999999996</v>
      </c>
      <c r="W19" s="118">
        <f t="shared" si="5"/>
        <v>1.4791060000000584</v>
      </c>
      <c r="X19" s="189">
        <f t="shared" si="6"/>
        <v>1.76</v>
      </c>
      <c r="Y19" s="145">
        <f t="shared" si="7"/>
        <v>0</v>
      </c>
      <c r="Z19" s="121">
        <f t="shared" si="7"/>
        <v>0</v>
      </c>
      <c r="AA19" s="121">
        <f t="shared" si="7"/>
        <v>0</v>
      </c>
      <c r="AB19" s="121">
        <f t="shared" si="7"/>
        <v>0</v>
      </c>
      <c r="AC19" s="121">
        <f t="shared" si="7"/>
        <v>98.73</v>
      </c>
      <c r="AD19" s="121">
        <f t="shared" si="7"/>
        <v>0</v>
      </c>
      <c r="AE19" s="121">
        <f t="shared" si="7"/>
        <v>0</v>
      </c>
      <c r="AF19" s="121">
        <f t="shared" si="7"/>
        <v>0</v>
      </c>
      <c r="AG19" s="121">
        <f t="shared" si="7"/>
        <v>0</v>
      </c>
      <c r="AH19" s="122">
        <f t="shared" si="7"/>
        <v>0</v>
      </c>
      <c r="AI19" s="145">
        <f t="shared" si="8"/>
        <v>0</v>
      </c>
      <c r="AJ19" s="121">
        <f t="shared" si="8"/>
        <v>0</v>
      </c>
      <c r="AK19" s="121">
        <f t="shared" si="8"/>
        <v>0</v>
      </c>
      <c r="AL19" s="121">
        <f t="shared" si="8"/>
        <v>0</v>
      </c>
      <c r="AM19" s="121">
        <f t="shared" si="8"/>
        <v>0</v>
      </c>
      <c r="AN19" s="121">
        <f t="shared" si="8"/>
        <v>0</v>
      </c>
      <c r="AO19" s="121">
        <f t="shared" si="8"/>
        <v>0</v>
      </c>
      <c r="AP19" s="121">
        <f t="shared" si="8"/>
        <v>0</v>
      </c>
      <c r="AQ19" s="121">
        <f t="shared" si="8"/>
        <v>0</v>
      </c>
      <c r="AR19" s="122">
        <f t="shared" si="8"/>
        <v>0</v>
      </c>
      <c r="AS19" s="145">
        <f t="shared" si="9"/>
        <v>0</v>
      </c>
      <c r="AT19" s="121">
        <f t="shared" si="9"/>
        <v>0</v>
      </c>
      <c r="AU19" s="121">
        <f t="shared" si="9"/>
        <v>0</v>
      </c>
      <c r="AV19" s="121">
        <f t="shared" si="9"/>
        <v>0</v>
      </c>
      <c r="AW19" s="121">
        <f t="shared" si="9"/>
        <v>0</v>
      </c>
      <c r="AX19" s="121">
        <f t="shared" si="9"/>
        <v>0</v>
      </c>
      <c r="AY19" s="121">
        <f t="shared" si="9"/>
        <v>0</v>
      </c>
      <c r="AZ19" s="121">
        <f t="shared" si="9"/>
        <v>0</v>
      </c>
      <c r="BA19" s="121">
        <f t="shared" si="9"/>
        <v>0</v>
      </c>
      <c r="BB19" s="122">
        <f t="shared" si="9"/>
        <v>0</v>
      </c>
      <c r="BC19" s="145">
        <f t="shared" ref="BC19:BC32" si="26">+IF(N19="SP",L19,0)</f>
        <v>0</v>
      </c>
      <c r="BD19" s="192">
        <f t="shared" si="19"/>
        <v>98.73</v>
      </c>
      <c r="BE19" s="192">
        <f t="shared" si="20"/>
        <v>0</v>
      </c>
      <c r="BF19" s="192">
        <f t="shared" si="10"/>
        <v>78.984000000000009</v>
      </c>
      <c r="BG19" s="192">
        <f t="shared" si="11"/>
        <v>0</v>
      </c>
      <c r="BH19" s="192">
        <f t="shared" si="21"/>
        <v>0</v>
      </c>
      <c r="BI19" s="122"/>
      <c r="BJ19" s="123"/>
      <c r="BL19" s="125">
        <f t="shared" si="12"/>
        <v>98.73</v>
      </c>
      <c r="BM19" s="125">
        <f t="shared" si="22"/>
        <v>0</v>
      </c>
    </row>
    <row r="20" spans="1:74" s="81" customFormat="1" ht="16.5" customHeight="1">
      <c r="A20" s="124" t="str">
        <f t="shared" si="13"/>
        <v>OK</v>
      </c>
      <c r="C20" s="748"/>
      <c r="D20" s="113">
        <v>2.48</v>
      </c>
      <c r="E20" s="114"/>
      <c r="F20" s="114">
        <f t="shared" si="14"/>
        <v>100</v>
      </c>
      <c r="G20" s="263" t="str">
        <f t="shared" si="14"/>
        <v>HD</v>
      </c>
      <c r="H20" s="115" t="str">
        <f t="shared" si="14"/>
        <v>K-9</v>
      </c>
      <c r="I20" s="117">
        <f t="shared" si="15"/>
        <v>314.88000009999996</v>
      </c>
      <c r="J20" s="264">
        <f t="shared" si="25"/>
        <v>420.24000009999997</v>
      </c>
      <c r="K20" s="267">
        <v>105.36</v>
      </c>
      <c r="L20" s="118">
        <f t="shared" si="16"/>
        <v>105.39</v>
      </c>
      <c r="M20" s="116">
        <v>2.48</v>
      </c>
      <c r="N20" s="113" t="str">
        <f t="shared" si="23"/>
        <v>AF</v>
      </c>
      <c r="O20" s="115" t="str">
        <f t="shared" si="24"/>
        <v>N</v>
      </c>
      <c r="P20" s="238">
        <f t="shared" si="3"/>
        <v>0</v>
      </c>
      <c r="Q20" s="238"/>
      <c r="R20" s="117">
        <f t="shared" si="17"/>
        <v>459.48</v>
      </c>
      <c r="S20" s="116">
        <v>462.15</v>
      </c>
      <c r="T20" s="117">
        <f t="shared" si="18"/>
        <v>458.00089399999996</v>
      </c>
      <c r="U20" s="264">
        <f t="shared" si="4"/>
        <v>460.61382199999997</v>
      </c>
      <c r="V20" s="117">
        <f t="shared" si="5"/>
        <v>1.4791060000000584</v>
      </c>
      <c r="W20" s="118">
        <f t="shared" si="5"/>
        <v>1.5361780000000067</v>
      </c>
      <c r="X20" s="189">
        <f t="shared" si="6"/>
        <v>1.51</v>
      </c>
      <c r="Y20" s="145">
        <f t="shared" si="7"/>
        <v>0</v>
      </c>
      <c r="Z20" s="121">
        <f t="shared" si="7"/>
        <v>0</v>
      </c>
      <c r="AA20" s="121">
        <f t="shared" si="7"/>
        <v>0</v>
      </c>
      <c r="AB20" s="121">
        <f t="shared" si="7"/>
        <v>105.39</v>
      </c>
      <c r="AC20" s="121">
        <f t="shared" si="7"/>
        <v>0</v>
      </c>
      <c r="AD20" s="121">
        <f t="shared" si="7"/>
        <v>0</v>
      </c>
      <c r="AE20" s="121">
        <f t="shared" si="7"/>
        <v>0</v>
      </c>
      <c r="AF20" s="121">
        <f t="shared" si="7"/>
        <v>0</v>
      </c>
      <c r="AG20" s="121">
        <f t="shared" si="7"/>
        <v>0</v>
      </c>
      <c r="AH20" s="122">
        <f t="shared" si="7"/>
        <v>0</v>
      </c>
      <c r="AI20" s="145">
        <f t="shared" si="8"/>
        <v>0</v>
      </c>
      <c r="AJ20" s="121">
        <f t="shared" si="8"/>
        <v>0</v>
      </c>
      <c r="AK20" s="121">
        <f t="shared" si="8"/>
        <v>0</v>
      </c>
      <c r="AL20" s="121">
        <f t="shared" si="8"/>
        <v>0</v>
      </c>
      <c r="AM20" s="121">
        <f t="shared" si="8"/>
        <v>0</v>
      </c>
      <c r="AN20" s="121">
        <f t="shared" si="8"/>
        <v>0</v>
      </c>
      <c r="AO20" s="121">
        <f t="shared" si="8"/>
        <v>0</v>
      </c>
      <c r="AP20" s="121">
        <f t="shared" si="8"/>
        <v>0</v>
      </c>
      <c r="AQ20" s="121">
        <f t="shared" si="8"/>
        <v>0</v>
      </c>
      <c r="AR20" s="122">
        <f t="shared" si="8"/>
        <v>0</v>
      </c>
      <c r="AS20" s="145">
        <f t="shared" si="9"/>
        <v>0</v>
      </c>
      <c r="AT20" s="121">
        <f t="shared" si="9"/>
        <v>0</v>
      </c>
      <c r="AU20" s="121">
        <f t="shared" si="9"/>
        <v>0</v>
      </c>
      <c r="AV20" s="121">
        <f t="shared" si="9"/>
        <v>0</v>
      </c>
      <c r="AW20" s="121">
        <f t="shared" si="9"/>
        <v>0</v>
      </c>
      <c r="AX20" s="121">
        <f t="shared" si="9"/>
        <v>0</v>
      </c>
      <c r="AY20" s="121">
        <f t="shared" si="9"/>
        <v>0</v>
      </c>
      <c r="AZ20" s="121">
        <f t="shared" si="9"/>
        <v>0</v>
      </c>
      <c r="BA20" s="121">
        <f t="shared" si="9"/>
        <v>0</v>
      </c>
      <c r="BB20" s="122">
        <f t="shared" si="9"/>
        <v>0</v>
      </c>
      <c r="BC20" s="145">
        <f t="shared" si="26"/>
        <v>0</v>
      </c>
      <c r="BD20" s="192">
        <f t="shared" si="19"/>
        <v>0</v>
      </c>
      <c r="BE20" s="192">
        <f t="shared" si="20"/>
        <v>0</v>
      </c>
      <c r="BF20" s="192">
        <f t="shared" si="10"/>
        <v>84.312000000000012</v>
      </c>
      <c r="BG20" s="192">
        <f t="shared" si="11"/>
        <v>0</v>
      </c>
      <c r="BH20" s="192">
        <f t="shared" si="21"/>
        <v>0</v>
      </c>
      <c r="BI20" s="122"/>
      <c r="BJ20" s="123"/>
      <c r="BL20" s="125">
        <f t="shared" si="12"/>
        <v>105.39</v>
      </c>
      <c r="BM20" s="125">
        <f t="shared" si="22"/>
        <v>0</v>
      </c>
    </row>
    <row r="21" spans="1:74" s="81" customFormat="1" ht="16.5" customHeight="1">
      <c r="A21" s="124" t="str">
        <f t="shared" si="13"/>
        <v>OK</v>
      </c>
      <c r="C21" s="748"/>
      <c r="D21" s="113"/>
      <c r="E21" s="114"/>
      <c r="F21" s="114">
        <f t="shared" si="14"/>
        <v>100</v>
      </c>
      <c r="G21" s="263" t="str">
        <f t="shared" si="14"/>
        <v>HD</v>
      </c>
      <c r="H21" s="115" t="str">
        <f t="shared" si="14"/>
        <v>K-9</v>
      </c>
      <c r="I21" s="117">
        <f t="shared" si="15"/>
        <v>420.24000009999997</v>
      </c>
      <c r="J21" s="264">
        <f t="shared" si="25"/>
        <v>482.24000009999997</v>
      </c>
      <c r="K21" s="267">
        <v>62</v>
      </c>
      <c r="L21" s="118">
        <f t="shared" si="16"/>
        <v>62.11</v>
      </c>
      <c r="M21" s="116">
        <v>5.84</v>
      </c>
      <c r="N21" s="113" t="str">
        <f t="shared" si="23"/>
        <v>AF</v>
      </c>
      <c r="O21" s="115" t="str">
        <f t="shared" si="24"/>
        <v>N</v>
      </c>
      <c r="P21" s="238" t="str">
        <f t="shared" si="3"/>
        <v>E</v>
      </c>
      <c r="Q21" s="238"/>
      <c r="R21" s="117">
        <f t="shared" si="17"/>
        <v>462.15</v>
      </c>
      <c r="S21" s="116">
        <v>466.3</v>
      </c>
      <c r="T21" s="117">
        <f t="shared" si="18"/>
        <v>460.61382199999997</v>
      </c>
      <c r="U21" s="264">
        <f t="shared" si="4"/>
        <v>464.23462199999994</v>
      </c>
      <c r="V21" s="117">
        <f t="shared" si="5"/>
        <v>1.5361780000000067</v>
      </c>
      <c r="W21" s="118">
        <f t="shared" si="5"/>
        <v>2.0653780000000665</v>
      </c>
      <c r="X21" s="189">
        <f t="shared" si="6"/>
        <v>1.8</v>
      </c>
      <c r="Y21" s="145">
        <f t="shared" si="7"/>
        <v>0</v>
      </c>
      <c r="Z21" s="121">
        <f t="shared" si="7"/>
        <v>0</v>
      </c>
      <c r="AA21" s="121">
        <f t="shared" si="7"/>
        <v>0</v>
      </c>
      <c r="AB21" s="121">
        <f t="shared" si="7"/>
        <v>0</v>
      </c>
      <c r="AC21" s="121">
        <f t="shared" si="7"/>
        <v>62.11</v>
      </c>
      <c r="AD21" s="121">
        <f t="shared" si="7"/>
        <v>0</v>
      </c>
      <c r="AE21" s="121">
        <f t="shared" si="7"/>
        <v>0</v>
      </c>
      <c r="AF21" s="121">
        <f t="shared" si="7"/>
        <v>0</v>
      </c>
      <c r="AG21" s="121">
        <f t="shared" si="7"/>
        <v>0</v>
      </c>
      <c r="AH21" s="122">
        <f t="shared" si="7"/>
        <v>0</v>
      </c>
      <c r="AI21" s="145">
        <f t="shared" si="8"/>
        <v>0</v>
      </c>
      <c r="AJ21" s="121">
        <f t="shared" si="8"/>
        <v>0</v>
      </c>
      <c r="AK21" s="121">
        <f t="shared" si="8"/>
        <v>0</v>
      </c>
      <c r="AL21" s="121">
        <f t="shared" si="8"/>
        <v>0</v>
      </c>
      <c r="AM21" s="121">
        <f t="shared" si="8"/>
        <v>0</v>
      </c>
      <c r="AN21" s="121">
        <f t="shared" si="8"/>
        <v>0</v>
      </c>
      <c r="AO21" s="121">
        <f t="shared" si="8"/>
        <v>0</v>
      </c>
      <c r="AP21" s="121">
        <f t="shared" si="8"/>
        <v>0</v>
      </c>
      <c r="AQ21" s="121">
        <f t="shared" si="8"/>
        <v>0</v>
      </c>
      <c r="AR21" s="122">
        <f t="shared" si="8"/>
        <v>0</v>
      </c>
      <c r="AS21" s="145">
        <f t="shared" si="9"/>
        <v>0</v>
      </c>
      <c r="AT21" s="121">
        <f t="shared" si="9"/>
        <v>0</v>
      </c>
      <c r="AU21" s="121">
        <f t="shared" si="9"/>
        <v>0</v>
      </c>
      <c r="AV21" s="121">
        <f t="shared" si="9"/>
        <v>0</v>
      </c>
      <c r="AW21" s="121">
        <f t="shared" si="9"/>
        <v>0</v>
      </c>
      <c r="AX21" s="121">
        <f t="shared" si="9"/>
        <v>0</v>
      </c>
      <c r="AY21" s="121">
        <f t="shared" si="9"/>
        <v>0</v>
      </c>
      <c r="AZ21" s="121">
        <f t="shared" si="9"/>
        <v>0</v>
      </c>
      <c r="BA21" s="121">
        <f t="shared" si="9"/>
        <v>0</v>
      </c>
      <c r="BB21" s="122">
        <f t="shared" si="9"/>
        <v>0</v>
      </c>
      <c r="BC21" s="145">
        <f t="shared" si="26"/>
        <v>0</v>
      </c>
      <c r="BD21" s="192">
        <f t="shared" si="19"/>
        <v>62.11</v>
      </c>
      <c r="BE21" s="192">
        <f t="shared" si="20"/>
        <v>0</v>
      </c>
      <c r="BF21" s="192">
        <f t="shared" si="10"/>
        <v>49.688000000000002</v>
      </c>
      <c r="BG21" s="192">
        <f t="shared" si="11"/>
        <v>0</v>
      </c>
      <c r="BH21" s="192">
        <f t="shared" si="21"/>
        <v>0</v>
      </c>
      <c r="BI21" s="122"/>
      <c r="BJ21" s="123"/>
      <c r="BL21" s="125">
        <f t="shared" si="12"/>
        <v>62.11</v>
      </c>
      <c r="BM21" s="125">
        <f t="shared" si="22"/>
        <v>0</v>
      </c>
    </row>
    <row r="22" spans="1:74" s="81" customFormat="1" ht="16.5" customHeight="1">
      <c r="A22" s="124" t="str">
        <f t="shared" si="13"/>
        <v>OK</v>
      </c>
      <c r="C22" s="748"/>
      <c r="D22" s="113"/>
      <c r="E22" s="114"/>
      <c r="F22" s="114">
        <f t="shared" si="14"/>
        <v>100</v>
      </c>
      <c r="G22" s="263" t="str">
        <f t="shared" si="14"/>
        <v>HD</v>
      </c>
      <c r="H22" s="115" t="str">
        <f t="shared" si="14"/>
        <v>K-9</v>
      </c>
      <c r="I22" s="117">
        <f t="shared" si="15"/>
        <v>482.24000009999997</v>
      </c>
      <c r="J22" s="264">
        <f t="shared" si="25"/>
        <v>600.56000010000002</v>
      </c>
      <c r="K22" s="267">
        <v>118.32</v>
      </c>
      <c r="L22" s="118">
        <f t="shared" si="16"/>
        <v>118.55</v>
      </c>
      <c r="M22" s="116">
        <v>6.19</v>
      </c>
      <c r="N22" s="113" t="str">
        <f t="shared" si="23"/>
        <v>AF</v>
      </c>
      <c r="O22" s="115" t="str">
        <f t="shared" si="24"/>
        <v>N</v>
      </c>
      <c r="P22" s="238" t="str">
        <f t="shared" si="3"/>
        <v>E</v>
      </c>
      <c r="Q22" s="238"/>
      <c r="R22" s="117">
        <f t="shared" si="17"/>
        <v>466.3</v>
      </c>
      <c r="S22" s="116">
        <v>473.04</v>
      </c>
      <c r="T22" s="117">
        <f t="shared" si="18"/>
        <v>464.23462199999994</v>
      </c>
      <c r="U22" s="264">
        <v>471.55</v>
      </c>
      <c r="V22" s="117">
        <f t="shared" si="5"/>
        <v>2.0653780000000665</v>
      </c>
      <c r="W22" s="118">
        <f t="shared" si="5"/>
        <v>1.4900000000000091</v>
      </c>
      <c r="X22" s="189">
        <f t="shared" si="6"/>
        <v>1.78</v>
      </c>
      <c r="Y22" s="145">
        <f t="shared" si="7"/>
        <v>0</v>
      </c>
      <c r="Z22" s="121">
        <f t="shared" si="7"/>
        <v>0</v>
      </c>
      <c r="AA22" s="121">
        <f t="shared" si="7"/>
        <v>0</v>
      </c>
      <c r="AB22" s="121">
        <f t="shared" si="7"/>
        <v>0</v>
      </c>
      <c r="AC22" s="121">
        <f t="shared" si="7"/>
        <v>118.55</v>
      </c>
      <c r="AD22" s="121">
        <f t="shared" si="7"/>
        <v>0</v>
      </c>
      <c r="AE22" s="121">
        <f t="shared" si="7"/>
        <v>0</v>
      </c>
      <c r="AF22" s="121">
        <f t="shared" si="7"/>
        <v>0</v>
      </c>
      <c r="AG22" s="121">
        <f t="shared" si="7"/>
        <v>0</v>
      </c>
      <c r="AH22" s="122">
        <f t="shared" si="7"/>
        <v>0</v>
      </c>
      <c r="AI22" s="145">
        <f t="shared" si="8"/>
        <v>0</v>
      </c>
      <c r="AJ22" s="121">
        <f t="shared" si="8"/>
        <v>0</v>
      </c>
      <c r="AK22" s="121">
        <f t="shared" si="8"/>
        <v>0</v>
      </c>
      <c r="AL22" s="121">
        <f t="shared" si="8"/>
        <v>0</v>
      </c>
      <c r="AM22" s="121">
        <f t="shared" si="8"/>
        <v>0</v>
      </c>
      <c r="AN22" s="121">
        <f t="shared" si="8"/>
        <v>0</v>
      </c>
      <c r="AO22" s="121">
        <f t="shared" si="8"/>
        <v>0</v>
      </c>
      <c r="AP22" s="121">
        <f t="shared" si="8"/>
        <v>0</v>
      </c>
      <c r="AQ22" s="121">
        <f t="shared" si="8"/>
        <v>0</v>
      </c>
      <c r="AR22" s="122">
        <f t="shared" si="8"/>
        <v>0</v>
      </c>
      <c r="AS22" s="145">
        <f t="shared" si="9"/>
        <v>0</v>
      </c>
      <c r="AT22" s="121">
        <f t="shared" si="9"/>
        <v>0</v>
      </c>
      <c r="AU22" s="121">
        <f t="shared" si="9"/>
        <v>0</v>
      </c>
      <c r="AV22" s="121">
        <f t="shared" si="9"/>
        <v>0</v>
      </c>
      <c r="AW22" s="121">
        <f t="shared" si="9"/>
        <v>0</v>
      </c>
      <c r="AX22" s="121">
        <f t="shared" si="9"/>
        <v>0</v>
      </c>
      <c r="AY22" s="121">
        <f t="shared" si="9"/>
        <v>0</v>
      </c>
      <c r="AZ22" s="121">
        <f t="shared" si="9"/>
        <v>0</v>
      </c>
      <c r="BA22" s="121">
        <f t="shared" si="9"/>
        <v>0</v>
      </c>
      <c r="BB22" s="122">
        <f t="shared" si="9"/>
        <v>0</v>
      </c>
      <c r="BC22" s="145">
        <f t="shared" si="26"/>
        <v>0</v>
      </c>
      <c r="BD22" s="192">
        <f t="shared" si="19"/>
        <v>118.55</v>
      </c>
      <c r="BE22" s="192">
        <f t="shared" si="20"/>
        <v>0</v>
      </c>
      <c r="BF22" s="192">
        <f t="shared" si="10"/>
        <v>94.84</v>
      </c>
      <c r="BG22" s="192">
        <f t="shared" si="11"/>
        <v>0</v>
      </c>
      <c r="BH22" s="192">
        <f t="shared" si="21"/>
        <v>0</v>
      </c>
      <c r="BI22" s="122"/>
      <c r="BJ22" s="123"/>
      <c r="BL22" s="125">
        <f t="shared" si="12"/>
        <v>118.55</v>
      </c>
      <c r="BM22" s="125">
        <f t="shared" si="22"/>
        <v>0</v>
      </c>
    </row>
    <row r="23" spans="1:74" s="81" customFormat="1" ht="16.5" customHeight="1">
      <c r="A23" s="124" t="str">
        <f t="shared" si="13"/>
        <v>OK</v>
      </c>
      <c r="C23" s="748"/>
      <c r="D23" s="113"/>
      <c r="E23" s="114"/>
      <c r="F23" s="114">
        <f t="shared" si="14"/>
        <v>100</v>
      </c>
      <c r="G23" s="263" t="str">
        <f t="shared" si="14"/>
        <v>HD</v>
      </c>
      <c r="H23" s="115" t="str">
        <f t="shared" si="14"/>
        <v>K-9</v>
      </c>
      <c r="I23" s="117">
        <f t="shared" si="15"/>
        <v>600.56000010000002</v>
      </c>
      <c r="J23" s="264">
        <f t="shared" si="25"/>
        <v>745.28000010000005</v>
      </c>
      <c r="K23" s="267">
        <v>144.72</v>
      </c>
      <c r="L23" s="118">
        <f>+ROUND(K23*SQRT((M23/100)^2+1),2)</f>
        <v>145.21</v>
      </c>
      <c r="M23" s="116">
        <v>8.2200000000000006</v>
      </c>
      <c r="N23" s="113" t="str">
        <f t="shared" si="23"/>
        <v>AF</v>
      </c>
      <c r="O23" s="115" t="str">
        <f t="shared" si="24"/>
        <v>N</v>
      </c>
      <c r="P23" s="238">
        <f t="shared" si="3"/>
        <v>0</v>
      </c>
      <c r="Q23" s="238"/>
      <c r="R23" s="117">
        <f t="shared" si="17"/>
        <v>473.04</v>
      </c>
      <c r="S23" s="116">
        <v>485.08</v>
      </c>
      <c r="T23" s="117">
        <f t="shared" si="18"/>
        <v>471.55</v>
      </c>
      <c r="U23" s="264">
        <f t="shared" si="4"/>
        <v>483.44598400000001</v>
      </c>
      <c r="V23" s="117">
        <f t="shared" si="5"/>
        <v>1.4900000000000091</v>
      </c>
      <c r="W23" s="118">
        <f t="shared" si="5"/>
        <v>1.6340159999999742</v>
      </c>
      <c r="X23" s="189">
        <f t="shared" si="6"/>
        <v>1.56</v>
      </c>
      <c r="Y23" s="145">
        <f t="shared" si="7"/>
        <v>0</v>
      </c>
      <c r="Z23" s="121">
        <f t="shared" si="7"/>
        <v>0</v>
      </c>
      <c r="AA23" s="121">
        <f t="shared" si="7"/>
        <v>0</v>
      </c>
      <c r="AB23" s="121">
        <f t="shared" si="7"/>
        <v>145.21</v>
      </c>
      <c r="AC23" s="121">
        <f t="shared" si="7"/>
        <v>0</v>
      </c>
      <c r="AD23" s="121">
        <f t="shared" si="7"/>
        <v>0</v>
      </c>
      <c r="AE23" s="121">
        <f t="shared" si="7"/>
        <v>0</v>
      </c>
      <c r="AF23" s="121">
        <f t="shared" si="7"/>
        <v>0</v>
      </c>
      <c r="AG23" s="121">
        <f t="shared" si="7"/>
        <v>0</v>
      </c>
      <c r="AH23" s="122">
        <f t="shared" si="7"/>
        <v>0</v>
      </c>
      <c r="AI23" s="145">
        <f t="shared" si="8"/>
        <v>0</v>
      </c>
      <c r="AJ23" s="121">
        <f t="shared" si="8"/>
        <v>0</v>
      </c>
      <c r="AK23" s="121">
        <f t="shared" si="8"/>
        <v>0</v>
      </c>
      <c r="AL23" s="121">
        <f t="shared" si="8"/>
        <v>0</v>
      </c>
      <c r="AM23" s="121">
        <f t="shared" si="8"/>
        <v>0</v>
      </c>
      <c r="AN23" s="121">
        <f t="shared" si="8"/>
        <v>0</v>
      </c>
      <c r="AO23" s="121">
        <f t="shared" si="8"/>
        <v>0</v>
      </c>
      <c r="AP23" s="121">
        <f t="shared" si="8"/>
        <v>0</v>
      </c>
      <c r="AQ23" s="121">
        <f t="shared" si="8"/>
        <v>0</v>
      </c>
      <c r="AR23" s="122">
        <f t="shared" si="8"/>
        <v>0</v>
      </c>
      <c r="AS23" s="145">
        <f t="shared" si="9"/>
        <v>0</v>
      </c>
      <c r="AT23" s="121">
        <f t="shared" si="9"/>
        <v>0</v>
      </c>
      <c r="AU23" s="121">
        <f t="shared" si="9"/>
        <v>0</v>
      </c>
      <c r="AV23" s="121">
        <f t="shared" si="9"/>
        <v>0</v>
      </c>
      <c r="AW23" s="121">
        <f t="shared" si="9"/>
        <v>0</v>
      </c>
      <c r="AX23" s="121">
        <f t="shared" si="9"/>
        <v>0</v>
      </c>
      <c r="AY23" s="121">
        <f t="shared" si="9"/>
        <v>0</v>
      </c>
      <c r="AZ23" s="121">
        <f t="shared" si="9"/>
        <v>0</v>
      </c>
      <c r="BA23" s="121">
        <f t="shared" si="9"/>
        <v>0</v>
      </c>
      <c r="BB23" s="122">
        <f t="shared" si="9"/>
        <v>0</v>
      </c>
      <c r="BC23" s="145">
        <f t="shared" si="26"/>
        <v>0</v>
      </c>
      <c r="BD23" s="192">
        <f t="shared" si="19"/>
        <v>0</v>
      </c>
      <c r="BE23" s="192">
        <f t="shared" si="20"/>
        <v>0</v>
      </c>
      <c r="BF23" s="192">
        <f t="shared" si="10"/>
        <v>116.16800000000001</v>
      </c>
      <c r="BG23" s="192">
        <f t="shared" si="11"/>
        <v>0</v>
      </c>
      <c r="BH23" s="192">
        <f t="shared" si="21"/>
        <v>0</v>
      </c>
      <c r="BI23" s="122"/>
      <c r="BJ23" s="123"/>
      <c r="BL23" s="125">
        <f t="shared" si="12"/>
        <v>145.21</v>
      </c>
      <c r="BM23" s="125">
        <f t="shared" si="22"/>
        <v>0</v>
      </c>
    </row>
    <row r="24" spans="1:74" s="81" customFormat="1" ht="16.5" customHeight="1">
      <c r="A24" s="124" t="str">
        <f t="shared" si="13"/>
        <v>OK</v>
      </c>
      <c r="C24" s="748"/>
      <c r="D24" s="113"/>
      <c r="E24" s="114"/>
      <c r="F24" s="114">
        <f t="shared" si="14"/>
        <v>100</v>
      </c>
      <c r="G24" s="263" t="str">
        <f t="shared" si="14"/>
        <v>HD</v>
      </c>
      <c r="H24" s="115" t="str">
        <f t="shared" si="14"/>
        <v>K-9</v>
      </c>
      <c r="I24" s="117">
        <f t="shared" si="15"/>
        <v>745.28000010000005</v>
      </c>
      <c r="J24" s="264">
        <f>+I24+K24</f>
        <v>833.68000010000003</v>
      </c>
      <c r="K24" s="267">
        <v>88.4</v>
      </c>
      <c r="L24" s="118">
        <f>+ROUND(K24*SQRT((M24/100)^2+1),2)</f>
        <v>88.67</v>
      </c>
      <c r="M24" s="116">
        <v>7.89</v>
      </c>
      <c r="N24" s="113" t="str">
        <f t="shared" si="23"/>
        <v>AF</v>
      </c>
      <c r="O24" s="115" t="str">
        <f t="shared" si="24"/>
        <v>N</v>
      </c>
      <c r="P24" s="238">
        <f t="shared" si="3"/>
        <v>0</v>
      </c>
      <c r="Q24" s="238"/>
      <c r="R24" s="117">
        <f t="shared" si="17"/>
        <v>485.08</v>
      </c>
      <c r="S24" s="116">
        <v>491.63</v>
      </c>
      <c r="T24" s="117">
        <f t="shared" si="18"/>
        <v>483.44598400000001</v>
      </c>
      <c r="U24" s="264">
        <f t="shared" si="4"/>
        <v>490.42074400000001</v>
      </c>
      <c r="V24" s="117">
        <f t="shared" si="5"/>
        <v>1.6340159999999742</v>
      </c>
      <c r="W24" s="118">
        <f t="shared" si="5"/>
        <v>1.2092559999999821</v>
      </c>
      <c r="X24" s="189">
        <f t="shared" si="6"/>
        <v>1.42</v>
      </c>
      <c r="Y24" s="145">
        <f t="shared" si="7"/>
        <v>0</v>
      </c>
      <c r="Z24" s="121">
        <f t="shared" si="7"/>
        <v>0</v>
      </c>
      <c r="AA24" s="121">
        <f t="shared" si="7"/>
        <v>88.67</v>
      </c>
      <c r="AB24" s="121">
        <f t="shared" si="7"/>
        <v>0</v>
      </c>
      <c r="AC24" s="121">
        <f t="shared" si="7"/>
        <v>0</v>
      </c>
      <c r="AD24" s="121">
        <f t="shared" si="7"/>
        <v>0</v>
      </c>
      <c r="AE24" s="121">
        <f t="shared" si="7"/>
        <v>0</v>
      </c>
      <c r="AF24" s="121">
        <f t="shared" si="7"/>
        <v>0</v>
      </c>
      <c r="AG24" s="121">
        <f t="shared" si="7"/>
        <v>0</v>
      </c>
      <c r="AH24" s="122">
        <f t="shared" si="7"/>
        <v>0</v>
      </c>
      <c r="AI24" s="145">
        <f t="shared" si="8"/>
        <v>0</v>
      </c>
      <c r="AJ24" s="121">
        <f t="shared" si="8"/>
        <v>0</v>
      </c>
      <c r="AK24" s="121">
        <f t="shared" si="8"/>
        <v>0</v>
      </c>
      <c r="AL24" s="121">
        <f t="shared" si="8"/>
        <v>0</v>
      </c>
      <c r="AM24" s="121">
        <f t="shared" si="8"/>
        <v>0</v>
      </c>
      <c r="AN24" s="121">
        <f t="shared" si="8"/>
        <v>0</v>
      </c>
      <c r="AO24" s="121">
        <f t="shared" si="8"/>
        <v>0</v>
      </c>
      <c r="AP24" s="121">
        <f t="shared" si="8"/>
        <v>0</v>
      </c>
      <c r="AQ24" s="121">
        <f t="shared" si="8"/>
        <v>0</v>
      </c>
      <c r="AR24" s="122">
        <f t="shared" si="8"/>
        <v>0</v>
      </c>
      <c r="AS24" s="145">
        <f t="shared" si="9"/>
        <v>0</v>
      </c>
      <c r="AT24" s="121">
        <f t="shared" si="9"/>
        <v>0</v>
      </c>
      <c r="AU24" s="121">
        <f t="shared" si="9"/>
        <v>0</v>
      </c>
      <c r="AV24" s="121">
        <f t="shared" si="9"/>
        <v>0</v>
      </c>
      <c r="AW24" s="121">
        <f t="shared" si="9"/>
        <v>0</v>
      </c>
      <c r="AX24" s="121">
        <f t="shared" si="9"/>
        <v>0</v>
      </c>
      <c r="AY24" s="121">
        <f t="shared" si="9"/>
        <v>0</v>
      </c>
      <c r="AZ24" s="121">
        <f t="shared" si="9"/>
        <v>0</v>
      </c>
      <c r="BA24" s="121">
        <f t="shared" si="9"/>
        <v>0</v>
      </c>
      <c r="BB24" s="122">
        <f t="shared" si="9"/>
        <v>0</v>
      </c>
      <c r="BC24" s="145">
        <f t="shared" si="26"/>
        <v>0</v>
      </c>
      <c r="BD24" s="192">
        <f t="shared" si="19"/>
        <v>0</v>
      </c>
      <c r="BE24" s="192">
        <f t="shared" si="20"/>
        <v>0</v>
      </c>
      <c r="BF24" s="192">
        <f t="shared" si="10"/>
        <v>70.936000000000007</v>
      </c>
      <c r="BG24" s="192">
        <f t="shared" si="11"/>
        <v>0</v>
      </c>
      <c r="BH24" s="192">
        <f t="shared" si="21"/>
        <v>0</v>
      </c>
      <c r="BI24" s="122"/>
      <c r="BJ24" s="123"/>
      <c r="BL24" s="125">
        <f t="shared" si="12"/>
        <v>88.67</v>
      </c>
      <c r="BM24" s="125">
        <f t="shared" si="22"/>
        <v>0</v>
      </c>
    </row>
    <row r="25" spans="1:74" s="81" customFormat="1" ht="16.5" customHeight="1">
      <c r="A25" s="124" t="str">
        <f t="shared" si="13"/>
        <v>OK</v>
      </c>
      <c r="C25" s="748"/>
      <c r="D25" s="113"/>
      <c r="E25" s="114"/>
      <c r="F25" s="114">
        <f t="shared" si="14"/>
        <v>100</v>
      </c>
      <c r="G25" s="263" t="str">
        <f t="shared" si="14"/>
        <v>HD</v>
      </c>
      <c r="H25" s="115" t="str">
        <f t="shared" si="14"/>
        <v>K-9</v>
      </c>
      <c r="I25" s="117">
        <f t="shared" si="15"/>
        <v>833.68000010000003</v>
      </c>
      <c r="J25" s="264">
        <f t="shared" si="25"/>
        <v>850.00000010000008</v>
      </c>
      <c r="K25" s="267">
        <v>16.32</v>
      </c>
      <c r="L25" s="118">
        <f t="shared" si="16"/>
        <v>16.36</v>
      </c>
      <c r="M25" s="116">
        <v>6.99</v>
      </c>
      <c r="N25" s="113" t="str">
        <f t="shared" si="23"/>
        <v>AF</v>
      </c>
      <c r="O25" s="115" t="str">
        <f t="shared" si="24"/>
        <v>N</v>
      </c>
      <c r="P25" s="238">
        <f t="shared" si="3"/>
        <v>0</v>
      </c>
      <c r="Q25" s="238"/>
      <c r="R25" s="117">
        <f t="shared" si="17"/>
        <v>491.63</v>
      </c>
      <c r="S25" s="116">
        <v>492.97</v>
      </c>
      <c r="T25" s="117">
        <f t="shared" si="18"/>
        <v>490.42074400000001</v>
      </c>
      <c r="U25" s="264">
        <f t="shared" si="4"/>
        <v>491.56151199999999</v>
      </c>
      <c r="V25" s="117">
        <f t="shared" si="5"/>
        <v>1.2092559999999821</v>
      </c>
      <c r="W25" s="118">
        <f t="shared" si="5"/>
        <v>1.4084880000000339</v>
      </c>
      <c r="X25" s="189">
        <f t="shared" si="6"/>
        <v>1.31</v>
      </c>
      <c r="Y25" s="145">
        <f t="shared" si="7"/>
        <v>0</v>
      </c>
      <c r="Z25" s="121">
        <f t="shared" si="7"/>
        <v>0</v>
      </c>
      <c r="AA25" s="121">
        <f t="shared" si="7"/>
        <v>16.36</v>
      </c>
      <c r="AB25" s="121">
        <f t="shared" si="7"/>
        <v>0</v>
      </c>
      <c r="AC25" s="121">
        <f t="shared" si="7"/>
        <v>0</v>
      </c>
      <c r="AD25" s="121">
        <f t="shared" si="7"/>
        <v>0</v>
      </c>
      <c r="AE25" s="121">
        <f t="shared" si="7"/>
        <v>0</v>
      </c>
      <c r="AF25" s="121">
        <f t="shared" si="7"/>
        <v>0</v>
      </c>
      <c r="AG25" s="121">
        <f t="shared" si="7"/>
        <v>0</v>
      </c>
      <c r="AH25" s="122">
        <f t="shared" si="7"/>
        <v>0</v>
      </c>
      <c r="AI25" s="145">
        <f t="shared" si="8"/>
        <v>0</v>
      </c>
      <c r="AJ25" s="121">
        <f t="shared" si="8"/>
        <v>0</v>
      </c>
      <c r="AK25" s="121">
        <f t="shared" si="8"/>
        <v>0</v>
      </c>
      <c r="AL25" s="121">
        <f t="shared" si="8"/>
        <v>0</v>
      </c>
      <c r="AM25" s="121">
        <f t="shared" si="8"/>
        <v>0</v>
      </c>
      <c r="AN25" s="121">
        <f t="shared" si="8"/>
        <v>0</v>
      </c>
      <c r="AO25" s="121">
        <f t="shared" si="8"/>
        <v>0</v>
      </c>
      <c r="AP25" s="121">
        <f t="shared" si="8"/>
        <v>0</v>
      </c>
      <c r="AQ25" s="121">
        <f t="shared" si="8"/>
        <v>0</v>
      </c>
      <c r="AR25" s="122">
        <f t="shared" si="8"/>
        <v>0</v>
      </c>
      <c r="AS25" s="145">
        <f t="shared" si="9"/>
        <v>0</v>
      </c>
      <c r="AT25" s="121">
        <f t="shared" si="9"/>
        <v>0</v>
      </c>
      <c r="AU25" s="121">
        <f t="shared" si="9"/>
        <v>0</v>
      </c>
      <c r="AV25" s="121">
        <f t="shared" si="9"/>
        <v>0</v>
      </c>
      <c r="AW25" s="121">
        <f t="shared" si="9"/>
        <v>0</v>
      </c>
      <c r="AX25" s="121">
        <f t="shared" si="9"/>
        <v>0</v>
      </c>
      <c r="AY25" s="121">
        <f t="shared" si="9"/>
        <v>0</v>
      </c>
      <c r="AZ25" s="121">
        <f t="shared" si="9"/>
        <v>0</v>
      </c>
      <c r="BA25" s="121">
        <f t="shared" si="9"/>
        <v>0</v>
      </c>
      <c r="BB25" s="122">
        <f t="shared" si="9"/>
        <v>0</v>
      </c>
      <c r="BC25" s="145">
        <f t="shared" si="26"/>
        <v>0</v>
      </c>
      <c r="BD25" s="192">
        <f t="shared" si="19"/>
        <v>0</v>
      </c>
      <c r="BE25" s="192">
        <f t="shared" si="20"/>
        <v>0</v>
      </c>
      <c r="BF25" s="192">
        <f t="shared" si="10"/>
        <v>13.088000000000001</v>
      </c>
      <c r="BG25" s="192">
        <f t="shared" si="11"/>
        <v>0</v>
      </c>
      <c r="BH25" s="192">
        <f t="shared" si="21"/>
        <v>0</v>
      </c>
      <c r="BI25" s="122"/>
      <c r="BJ25" s="123"/>
      <c r="BL25" s="125">
        <f t="shared" si="12"/>
        <v>16.36</v>
      </c>
      <c r="BM25" s="125">
        <f t="shared" si="22"/>
        <v>0</v>
      </c>
    </row>
    <row r="26" spans="1:74" s="81" customFormat="1" ht="16.5" customHeight="1">
      <c r="A26" s="124" t="str">
        <f t="shared" si="13"/>
        <v>OK</v>
      </c>
      <c r="C26" s="748"/>
      <c r="D26" s="113">
        <v>8.59</v>
      </c>
      <c r="E26" s="114"/>
      <c r="F26" s="114">
        <f t="shared" si="14"/>
        <v>100</v>
      </c>
      <c r="G26" s="263" t="str">
        <f t="shared" si="14"/>
        <v>HD</v>
      </c>
      <c r="H26" s="115" t="str">
        <f t="shared" si="14"/>
        <v>K-9</v>
      </c>
      <c r="I26" s="117">
        <f t="shared" si="15"/>
        <v>850.00000010000008</v>
      </c>
      <c r="J26" s="264">
        <f t="shared" si="25"/>
        <v>898.37000010000008</v>
      </c>
      <c r="K26" s="267">
        <v>48.37</v>
      </c>
      <c r="L26" s="118">
        <f t="shared" si="16"/>
        <v>48.55</v>
      </c>
      <c r="M26" s="116">
        <v>8.59</v>
      </c>
      <c r="N26" s="113" t="str">
        <f t="shared" si="23"/>
        <v>AF</v>
      </c>
      <c r="O26" s="115" t="s">
        <v>4</v>
      </c>
      <c r="P26" s="238">
        <f t="shared" si="3"/>
        <v>0</v>
      </c>
      <c r="Q26" s="238"/>
      <c r="R26" s="117">
        <f t="shared" si="17"/>
        <v>492.97</v>
      </c>
      <c r="S26" s="116">
        <v>498.42</v>
      </c>
      <c r="T26" s="117">
        <f t="shared" si="18"/>
        <v>491.56151199999999</v>
      </c>
      <c r="U26" s="264">
        <f t="shared" si="4"/>
        <v>495.71649500000001</v>
      </c>
      <c r="V26" s="117">
        <f t="shared" si="5"/>
        <v>1.4084880000000339</v>
      </c>
      <c r="W26" s="118">
        <f t="shared" si="5"/>
        <v>2.7035050000000069</v>
      </c>
      <c r="X26" s="189">
        <f t="shared" si="6"/>
        <v>2.06</v>
      </c>
      <c r="Y26" s="145">
        <f t="shared" si="7"/>
        <v>0</v>
      </c>
      <c r="Z26" s="121">
        <f t="shared" si="7"/>
        <v>0</v>
      </c>
      <c r="AA26" s="121">
        <f t="shared" si="7"/>
        <v>0</v>
      </c>
      <c r="AB26" s="121">
        <f t="shared" si="7"/>
        <v>0</v>
      </c>
      <c r="AC26" s="121">
        <f t="shared" si="7"/>
        <v>0</v>
      </c>
      <c r="AD26" s="121">
        <f t="shared" si="7"/>
        <v>0</v>
      </c>
      <c r="AE26" s="121">
        <f t="shared" si="7"/>
        <v>0</v>
      </c>
      <c r="AF26" s="121">
        <f t="shared" si="7"/>
        <v>0</v>
      </c>
      <c r="AG26" s="121">
        <f t="shared" si="7"/>
        <v>0</v>
      </c>
      <c r="AH26" s="122">
        <f t="shared" si="7"/>
        <v>0</v>
      </c>
      <c r="AI26" s="145">
        <f t="shared" si="8"/>
        <v>0</v>
      </c>
      <c r="AJ26" s="121">
        <f t="shared" si="8"/>
        <v>0</v>
      </c>
      <c r="AK26" s="121">
        <f t="shared" si="8"/>
        <v>0</v>
      </c>
      <c r="AL26" s="121">
        <f t="shared" si="8"/>
        <v>0</v>
      </c>
      <c r="AM26" s="121">
        <f t="shared" si="8"/>
        <v>0</v>
      </c>
      <c r="AN26" s="121">
        <f t="shared" si="8"/>
        <v>0</v>
      </c>
      <c r="AO26" s="121">
        <f t="shared" si="8"/>
        <v>0</v>
      </c>
      <c r="AP26" s="121">
        <f t="shared" si="8"/>
        <v>0</v>
      </c>
      <c r="AQ26" s="121">
        <f t="shared" si="8"/>
        <v>0</v>
      </c>
      <c r="AR26" s="122">
        <f t="shared" si="8"/>
        <v>0</v>
      </c>
      <c r="AS26" s="145">
        <f t="shared" si="9"/>
        <v>0</v>
      </c>
      <c r="AT26" s="121">
        <f t="shared" si="9"/>
        <v>0</v>
      </c>
      <c r="AU26" s="121">
        <f t="shared" si="9"/>
        <v>0</v>
      </c>
      <c r="AV26" s="121">
        <f t="shared" si="9"/>
        <v>0</v>
      </c>
      <c r="AW26" s="121">
        <f t="shared" si="9"/>
        <v>0</v>
      </c>
      <c r="AX26" s="121">
        <f t="shared" si="9"/>
        <v>48.55</v>
      </c>
      <c r="AY26" s="121">
        <f t="shared" si="9"/>
        <v>0</v>
      </c>
      <c r="AZ26" s="121">
        <f t="shared" si="9"/>
        <v>0</v>
      </c>
      <c r="BA26" s="121">
        <f t="shared" si="9"/>
        <v>0</v>
      </c>
      <c r="BB26" s="122">
        <f t="shared" si="9"/>
        <v>0</v>
      </c>
      <c r="BC26" s="145">
        <f t="shared" si="26"/>
        <v>0</v>
      </c>
      <c r="BD26" s="192">
        <f t="shared" si="19"/>
        <v>0</v>
      </c>
      <c r="BE26" s="192">
        <f t="shared" si="20"/>
        <v>0</v>
      </c>
      <c r="BF26" s="192">
        <f t="shared" si="10"/>
        <v>38.840000000000003</v>
      </c>
      <c r="BG26" s="192">
        <f t="shared" si="11"/>
        <v>0</v>
      </c>
      <c r="BH26" s="192">
        <f t="shared" si="21"/>
        <v>0</v>
      </c>
      <c r="BI26" s="122"/>
      <c r="BJ26" s="123"/>
      <c r="BL26" s="125">
        <f t="shared" si="12"/>
        <v>48.55</v>
      </c>
      <c r="BM26" s="125">
        <f t="shared" si="22"/>
        <v>0</v>
      </c>
    </row>
    <row r="27" spans="1:74" s="81" customFormat="1" ht="16.5" customHeight="1">
      <c r="A27" s="124" t="str">
        <f t="shared" si="13"/>
        <v>OK</v>
      </c>
      <c r="C27" s="748"/>
      <c r="D27" s="113"/>
      <c r="E27" s="114"/>
      <c r="F27" s="114">
        <f t="shared" si="14"/>
        <v>100</v>
      </c>
      <c r="G27" s="263" t="str">
        <f t="shared" si="14"/>
        <v>HD</v>
      </c>
      <c r="H27" s="115" t="str">
        <f t="shared" si="14"/>
        <v>K-9</v>
      </c>
      <c r="I27" s="117">
        <f t="shared" si="15"/>
        <v>898.37000010000008</v>
      </c>
      <c r="J27" s="264">
        <f t="shared" si="25"/>
        <v>907.15000010000006</v>
      </c>
      <c r="K27" s="267">
        <v>8.7799999999999994</v>
      </c>
      <c r="L27" s="118">
        <f t="shared" si="16"/>
        <v>8.81</v>
      </c>
      <c r="M27" s="116">
        <v>8.59</v>
      </c>
      <c r="N27" s="113" t="s">
        <v>216</v>
      </c>
      <c r="O27" s="115" t="str">
        <f t="shared" si="24"/>
        <v>R</v>
      </c>
      <c r="P27" s="238">
        <f t="shared" si="3"/>
        <v>0</v>
      </c>
      <c r="Q27" s="238"/>
      <c r="R27" s="117">
        <f t="shared" si="17"/>
        <v>498.42</v>
      </c>
      <c r="S27" s="116">
        <v>499.12</v>
      </c>
      <c r="T27" s="117">
        <f t="shared" si="18"/>
        <v>495.71649500000001</v>
      </c>
      <c r="U27" s="264">
        <f t="shared" si="4"/>
        <v>496.47069700000003</v>
      </c>
      <c r="V27" s="117">
        <f t="shared" si="5"/>
        <v>2.7035050000000069</v>
      </c>
      <c r="W27" s="118">
        <f t="shared" si="5"/>
        <v>2.6493029999999749</v>
      </c>
      <c r="X27" s="189">
        <f t="shared" si="6"/>
        <v>2.68</v>
      </c>
      <c r="Y27" s="145">
        <f t="shared" si="7"/>
        <v>0</v>
      </c>
      <c r="Z27" s="121">
        <f t="shared" si="7"/>
        <v>0</v>
      </c>
      <c r="AA27" s="121">
        <f t="shared" si="7"/>
        <v>0</v>
      </c>
      <c r="AB27" s="121">
        <f t="shared" si="7"/>
        <v>0</v>
      </c>
      <c r="AC27" s="121">
        <f t="shared" si="7"/>
        <v>0</v>
      </c>
      <c r="AD27" s="121">
        <f t="shared" si="7"/>
        <v>0</v>
      </c>
      <c r="AE27" s="121">
        <f t="shared" si="7"/>
        <v>0</v>
      </c>
      <c r="AF27" s="121">
        <f t="shared" si="7"/>
        <v>0</v>
      </c>
      <c r="AG27" s="121">
        <f t="shared" si="7"/>
        <v>0</v>
      </c>
      <c r="AH27" s="122">
        <f t="shared" si="7"/>
        <v>0</v>
      </c>
      <c r="AI27" s="145">
        <f t="shared" si="8"/>
        <v>0</v>
      </c>
      <c r="AJ27" s="121">
        <f t="shared" si="8"/>
        <v>0</v>
      </c>
      <c r="AK27" s="121">
        <f t="shared" si="8"/>
        <v>0</v>
      </c>
      <c r="AL27" s="121">
        <f t="shared" si="8"/>
        <v>0</v>
      </c>
      <c r="AM27" s="121">
        <f t="shared" si="8"/>
        <v>0</v>
      </c>
      <c r="AN27" s="121">
        <f t="shared" si="8"/>
        <v>0</v>
      </c>
      <c r="AO27" s="121">
        <f t="shared" si="8"/>
        <v>0</v>
      </c>
      <c r="AP27" s="121">
        <f t="shared" si="8"/>
        <v>0</v>
      </c>
      <c r="AQ27" s="121">
        <f t="shared" si="8"/>
        <v>0</v>
      </c>
      <c r="AR27" s="122">
        <f t="shared" si="8"/>
        <v>0</v>
      </c>
      <c r="AS27" s="145">
        <f t="shared" si="9"/>
        <v>0</v>
      </c>
      <c r="AT27" s="121">
        <f t="shared" si="9"/>
        <v>0</v>
      </c>
      <c r="AU27" s="121">
        <f t="shared" si="9"/>
        <v>0</v>
      </c>
      <c r="AV27" s="121">
        <f t="shared" si="9"/>
        <v>0</v>
      </c>
      <c r="AW27" s="121">
        <f t="shared" si="9"/>
        <v>0</v>
      </c>
      <c r="AX27" s="121">
        <f t="shared" si="9"/>
        <v>0</v>
      </c>
      <c r="AY27" s="121">
        <f t="shared" si="9"/>
        <v>8.81</v>
      </c>
      <c r="AZ27" s="121">
        <f t="shared" si="9"/>
        <v>0</v>
      </c>
      <c r="BA27" s="121">
        <f t="shared" si="9"/>
        <v>0</v>
      </c>
      <c r="BB27" s="122">
        <f t="shared" si="9"/>
        <v>0</v>
      </c>
      <c r="BC27" s="145">
        <f t="shared" si="26"/>
        <v>8.81</v>
      </c>
      <c r="BD27" s="192">
        <f t="shared" si="19"/>
        <v>0</v>
      </c>
      <c r="BE27" s="192">
        <f t="shared" si="20"/>
        <v>0</v>
      </c>
      <c r="BF27" s="192">
        <f t="shared" si="10"/>
        <v>0</v>
      </c>
      <c r="BG27" s="192">
        <f t="shared" si="11"/>
        <v>0</v>
      </c>
      <c r="BH27" s="192">
        <f t="shared" si="21"/>
        <v>0</v>
      </c>
      <c r="BI27" s="122"/>
      <c r="BJ27" s="123"/>
      <c r="BL27" s="125">
        <f t="shared" si="12"/>
        <v>0</v>
      </c>
      <c r="BM27" s="125">
        <f t="shared" si="22"/>
        <v>0</v>
      </c>
    </row>
    <row r="28" spans="1:74" s="81" customFormat="1" ht="16.5" customHeight="1">
      <c r="A28" s="124" t="str">
        <f t="shared" si="13"/>
        <v>OK</v>
      </c>
      <c r="C28" s="748"/>
      <c r="D28" s="113"/>
      <c r="E28" s="114"/>
      <c r="F28" s="114">
        <f t="shared" si="14"/>
        <v>100</v>
      </c>
      <c r="G28" s="263" t="str">
        <f t="shared" si="14"/>
        <v>HD</v>
      </c>
      <c r="H28" s="115" t="str">
        <f t="shared" si="14"/>
        <v>K-9</v>
      </c>
      <c r="I28" s="117">
        <f t="shared" si="15"/>
        <v>907.15000010000006</v>
      </c>
      <c r="J28" s="264">
        <f t="shared" si="25"/>
        <v>913.45000010000001</v>
      </c>
      <c r="K28" s="267">
        <v>6.3</v>
      </c>
      <c r="L28" s="118">
        <f t="shared" si="16"/>
        <v>6.42</v>
      </c>
      <c r="M28" s="116">
        <v>19.97</v>
      </c>
      <c r="N28" s="113" t="str">
        <f t="shared" si="23"/>
        <v>SP</v>
      </c>
      <c r="O28" s="115" t="str">
        <f t="shared" si="24"/>
        <v>R</v>
      </c>
      <c r="P28" s="238">
        <f t="shared" si="3"/>
        <v>0</v>
      </c>
      <c r="Q28" s="238" t="s">
        <v>205</v>
      </c>
      <c r="R28" s="117">
        <f t="shared" si="17"/>
        <v>499.12</v>
      </c>
      <c r="S28" s="116">
        <v>499.77</v>
      </c>
      <c r="T28" s="117">
        <f t="shared" si="18"/>
        <v>496.47069700000003</v>
      </c>
      <c r="U28" s="264">
        <f t="shared" si="4"/>
        <v>497.72880700000002</v>
      </c>
      <c r="V28" s="117">
        <f t="shared" si="5"/>
        <v>2.6493029999999749</v>
      </c>
      <c r="W28" s="118">
        <f t="shared" si="5"/>
        <v>2.0411929999999643</v>
      </c>
      <c r="X28" s="189">
        <f t="shared" si="6"/>
        <v>2.35</v>
      </c>
      <c r="Y28" s="145">
        <f t="shared" si="7"/>
        <v>0</v>
      </c>
      <c r="Z28" s="121">
        <f t="shared" si="7"/>
        <v>0</v>
      </c>
      <c r="AA28" s="121">
        <f t="shared" si="7"/>
        <v>0</v>
      </c>
      <c r="AB28" s="121">
        <f t="shared" si="7"/>
        <v>0</v>
      </c>
      <c r="AC28" s="121">
        <f t="shared" si="7"/>
        <v>0</v>
      </c>
      <c r="AD28" s="121">
        <f t="shared" si="7"/>
        <v>0</v>
      </c>
      <c r="AE28" s="121">
        <f t="shared" si="7"/>
        <v>0</v>
      </c>
      <c r="AF28" s="121">
        <f t="shared" si="7"/>
        <v>0</v>
      </c>
      <c r="AG28" s="121">
        <f t="shared" si="7"/>
        <v>0</v>
      </c>
      <c r="AH28" s="122">
        <f t="shared" si="7"/>
        <v>0</v>
      </c>
      <c r="AI28" s="145">
        <f t="shared" si="8"/>
        <v>0</v>
      </c>
      <c r="AJ28" s="121">
        <f t="shared" si="8"/>
        <v>0</v>
      </c>
      <c r="AK28" s="121">
        <f t="shared" si="8"/>
        <v>0</v>
      </c>
      <c r="AL28" s="121">
        <f t="shared" si="8"/>
        <v>0</v>
      </c>
      <c r="AM28" s="121">
        <f t="shared" si="8"/>
        <v>0</v>
      </c>
      <c r="AN28" s="121">
        <f t="shared" si="8"/>
        <v>0</v>
      </c>
      <c r="AO28" s="121">
        <f t="shared" si="8"/>
        <v>0</v>
      </c>
      <c r="AP28" s="121">
        <f t="shared" si="8"/>
        <v>0</v>
      </c>
      <c r="AQ28" s="121">
        <f t="shared" si="8"/>
        <v>0</v>
      </c>
      <c r="AR28" s="122">
        <f t="shared" si="8"/>
        <v>0</v>
      </c>
      <c r="AS28" s="145">
        <f t="shared" si="9"/>
        <v>0</v>
      </c>
      <c r="AT28" s="121">
        <f t="shared" si="9"/>
        <v>0</v>
      </c>
      <c r="AU28" s="121">
        <f t="shared" si="9"/>
        <v>0</v>
      </c>
      <c r="AV28" s="121">
        <f t="shared" si="9"/>
        <v>0</v>
      </c>
      <c r="AW28" s="121">
        <f t="shared" si="9"/>
        <v>0</v>
      </c>
      <c r="AX28" s="121">
        <f t="shared" si="9"/>
        <v>6.42</v>
      </c>
      <c r="AY28" s="121">
        <f t="shared" si="9"/>
        <v>0</v>
      </c>
      <c r="AZ28" s="121">
        <f t="shared" si="9"/>
        <v>0</v>
      </c>
      <c r="BA28" s="121">
        <f t="shared" si="9"/>
        <v>0</v>
      </c>
      <c r="BB28" s="122">
        <f t="shared" si="9"/>
        <v>0</v>
      </c>
      <c r="BC28" s="145">
        <f t="shared" si="26"/>
        <v>6.42</v>
      </c>
      <c r="BD28" s="192">
        <f t="shared" si="19"/>
        <v>0</v>
      </c>
      <c r="BE28" s="192">
        <f t="shared" si="20"/>
        <v>6.42</v>
      </c>
      <c r="BF28" s="192">
        <f t="shared" si="10"/>
        <v>0</v>
      </c>
      <c r="BG28" s="192">
        <f t="shared" si="11"/>
        <v>0</v>
      </c>
      <c r="BH28" s="192">
        <f t="shared" si="21"/>
        <v>0</v>
      </c>
      <c r="BI28" s="122"/>
      <c r="BJ28" s="123"/>
      <c r="BL28" s="125">
        <f t="shared" si="12"/>
        <v>0</v>
      </c>
      <c r="BM28" s="125">
        <f t="shared" si="22"/>
        <v>0</v>
      </c>
    </row>
    <row r="29" spans="1:74" s="81" customFormat="1" ht="16.5" customHeight="1">
      <c r="A29" s="124" t="str">
        <f t="shared" si="13"/>
        <v>OK</v>
      </c>
      <c r="C29" s="748"/>
      <c r="D29" s="113"/>
      <c r="E29" s="114"/>
      <c r="F29" s="114">
        <f t="shared" si="14"/>
        <v>100</v>
      </c>
      <c r="G29" s="263" t="str">
        <f t="shared" si="14"/>
        <v>HD</v>
      </c>
      <c r="H29" s="115" t="str">
        <f t="shared" si="14"/>
        <v>K-9</v>
      </c>
      <c r="I29" s="117">
        <f t="shared" si="15"/>
        <v>913.45000010000001</v>
      </c>
      <c r="J29" s="264">
        <f t="shared" si="25"/>
        <v>920.50000009999997</v>
      </c>
      <c r="K29" s="267">
        <v>7.05</v>
      </c>
      <c r="L29" s="118">
        <f t="shared" si="16"/>
        <v>10.08</v>
      </c>
      <c r="M29" s="116">
        <v>102.27</v>
      </c>
      <c r="N29" s="113" t="str">
        <f t="shared" si="23"/>
        <v>SP</v>
      </c>
      <c r="O29" s="115" t="str">
        <f t="shared" si="24"/>
        <v>R</v>
      </c>
      <c r="P29" s="238">
        <f t="shared" si="3"/>
        <v>0</v>
      </c>
      <c r="Q29" s="238" t="s">
        <v>205</v>
      </c>
      <c r="R29" s="117">
        <f t="shared" si="17"/>
        <v>499.77</v>
      </c>
      <c r="S29" s="116">
        <v>506.62</v>
      </c>
      <c r="T29" s="117">
        <f t="shared" si="18"/>
        <v>497.72880700000002</v>
      </c>
      <c r="U29" s="264">
        <f t="shared" si="4"/>
        <v>504.93884200000002</v>
      </c>
      <c r="V29" s="117">
        <f t="shared" si="5"/>
        <v>2.0411929999999643</v>
      </c>
      <c r="W29" s="118">
        <f t="shared" si="5"/>
        <v>1.6811579999999822</v>
      </c>
      <c r="X29" s="189">
        <f t="shared" si="6"/>
        <v>1.86</v>
      </c>
      <c r="Y29" s="145">
        <f t="shared" si="7"/>
        <v>0</v>
      </c>
      <c r="Z29" s="121">
        <f t="shared" si="7"/>
        <v>0</v>
      </c>
      <c r="AA29" s="121">
        <f t="shared" si="7"/>
        <v>0</v>
      </c>
      <c r="AB29" s="121">
        <f t="shared" si="7"/>
        <v>0</v>
      </c>
      <c r="AC29" s="121">
        <f t="shared" si="7"/>
        <v>0</v>
      </c>
      <c r="AD29" s="121">
        <f t="shared" si="7"/>
        <v>0</v>
      </c>
      <c r="AE29" s="121">
        <f t="shared" si="7"/>
        <v>0</v>
      </c>
      <c r="AF29" s="121">
        <f t="shared" si="7"/>
        <v>0</v>
      </c>
      <c r="AG29" s="121">
        <f t="shared" si="7"/>
        <v>0</v>
      </c>
      <c r="AH29" s="122">
        <f t="shared" si="7"/>
        <v>0</v>
      </c>
      <c r="AI29" s="145">
        <f t="shared" si="8"/>
        <v>0</v>
      </c>
      <c r="AJ29" s="121">
        <f t="shared" si="8"/>
        <v>0</v>
      </c>
      <c r="AK29" s="121">
        <f t="shared" si="8"/>
        <v>0</v>
      </c>
      <c r="AL29" s="121">
        <f t="shared" si="8"/>
        <v>0</v>
      </c>
      <c r="AM29" s="121">
        <f t="shared" si="8"/>
        <v>0</v>
      </c>
      <c r="AN29" s="121">
        <f t="shared" si="8"/>
        <v>0</v>
      </c>
      <c r="AO29" s="121">
        <f t="shared" si="8"/>
        <v>0</v>
      </c>
      <c r="AP29" s="121">
        <f t="shared" si="8"/>
        <v>0</v>
      </c>
      <c r="AQ29" s="121">
        <f t="shared" si="8"/>
        <v>0</v>
      </c>
      <c r="AR29" s="122">
        <f t="shared" si="8"/>
        <v>0</v>
      </c>
      <c r="AS29" s="145">
        <f t="shared" si="9"/>
        <v>0</v>
      </c>
      <c r="AT29" s="121">
        <f t="shared" si="9"/>
        <v>0</v>
      </c>
      <c r="AU29" s="121">
        <f t="shared" si="9"/>
        <v>0</v>
      </c>
      <c r="AV29" s="121">
        <f t="shared" si="9"/>
        <v>0</v>
      </c>
      <c r="AW29" s="121">
        <f t="shared" si="9"/>
        <v>10.08</v>
      </c>
      <c r="AX29" s="121">
        <f t="shared" si="9"/>
        <v>0</v>
      </c>
      <c r="AY29" s="121">
        <f t="shared" si="9"/>
        <v>0</v>
      </c>
      <c r="AZ29" s="121">
        <f t="shared" si="9"/>
        <v>0</v>
      </c>
      <c r="BA29" s="121">
        <f t="shared" si="9"/>
        <v>0</v>
      </c>
      <c r="BB29" s="122">
        <f t="shared" si="9"/>
        <v>0</v>
      </c>
      <c r="BC29" s="145">
        <f t="shared" si="26"/>
        <v>10.08</v>
      </c>
      <c r="BD29" s="192">
        <f t="shared" si="19"/>
        <v>0</v>
      </c>
      <c r="BE29" s="192">
        <f t="shared" si="20"/>
        <v>10.08</v>
      </c>
      <c r="BF29" s="192">
        <f t="shared" si="10"/>
        <v>0</v>
      </c>
      <c r="BG29" s="192">
        <f t="shared" si="11"/>
        <v>0</v>
      </c>
      <c r="BH29" s="192">
        <f t="shared" si="21"/>
        <v>0</v>
      </c>
      <c r="BI29" s="122"/>
      <c r="BJ29" s="123"/>
      <c r="BL29" s="125">
        <f t="shared" si="12"/>
        <v>0</v>
      </c>
      <c r="BM29" s="125">
        <f t="shared" si="22"/>
        <v>0</v>
      </c>
    </row>
    <row r="30" spans="1:74" s="81" customFormat="1" ht="16.5" customHeight="1">
      <c r="A30" s="124" t="str">
        <f t="shared" si="13"/>
        <v>OK</v>
      </c>
      <c r="C30" s="748"/>
      <c r="D30" s="113"/>
      <c r="E30" s="114"/>
      <c r="F30" s="114">
        <f t="shared" si="14"/>
        <v>100</v>
      </c>
      <c r="G30" s="263" t="str">
        <f t="shared" si="14"/>
        <v>HD</v>
      </c>
      <c r="H30" s="115" t="str">
        <f t="shared" si="14"/>
        <v>K-9</v>
      </c>
      <c r="I30" s="117">
        <f t="shared" si="15"/>
        <v>920.50000009999997</v>
      </c>
      <c r="J30" s="264">
        <f t="shared" si="25"/>
        <v>942.19000010000002</v>
      </c>
      <c r="K30" s="267">
        <v>21.69</v>
      </c>
      <c r="L30" s="118">
        <f t="shared" si="16"/>
        <v>25.62</v>
      </c>
      <c r="M30" s="116">
        <v>62.84</v>
      </c>
      <c r="N30" s="113" t="str">
        <f t="shared" si="23"/>
        <v>SP</v>
      </c>
      <c r="O30" s="115" t="str">
        <f t="shared" si="24"/>
        <v>R</v>
      </c>
      <c r="P30" s="238">
        <f t="shared" si="3"/>
        <v>0</v>
      </c>
      <c r="Q30" s="238" t="s">
        <v>205</v>
      </c>
      <c r="R30" s="117">
        <f t="shared" si="17"/>
        <v>506.62</v>
      </c>
      <c r="S30" s="116">
        <v>519.66999999999996</v>
      </c>
      <c r="T30" s="117">
        <f t="shared" si="18"/>
        <v>504.93884200000002</v>
      </c>
      <c r="U30" s="264">
        <v>518.57000000000005</v>
      </c>
      <c r="V30" s="117">
        <f t="shared" si="5"/>
        <v>1.6811579999999822</v>
      </c>
      <c r="W30" s="118">
        <f t="shared" si="5"/>
        <v>1.0999999999999091</v>
      </c>
      <c r="X30" s="189">
        <f t="shared" si="6"/>
        <v>1.39</v>
      </c>
      <c r="Y30" s="145">
        <f t="shared" ref="Y30:AH32" si="27">+IF($O30="N",IF($X30&gt;=Y$11,IF($X30&lt;=Y$12,$L30,0),0),0)</f>
        <v>0</v>
      </c>
      <c r="Z30" s="121">
        <f t="shared" si="27"/>
        <v>0</v>
      </c>
      <c r="AA30" s="121">
        <f t="shared" si="27"/>
        <v>0</v>
      </c>
      <c r="AB30" s="121">
        <f t="shared" si="27"/>
        <v>0</v>
      </c>
      <c r="AC30" s="121">
        <f t="shared" si="27"/>
        <v>0</v>
      </c>
      <c r="AD30" s="121">
        <f t="shared" si="27"/>
        <v>0</v>
      </c>
      <c r="AE30" s="121">
        <f t="shared" si="27"/>
        <v>0</v>
      </c>
      <c r="AF30" s="121">
        <f t="shared" si="27"/>
        <v>0</v>
      </c>
      <c r="AG30" s="121">
        <f t="shared" si="27"/>
        <v>0</v>
      </c>
      <c r="AH30" s="122">
        <f t="shared" si="27"/>
        <v>0</v>
      </c>
      <c r="AI30" s="145">
        <f t="shared" ref="AI30:AR32" si="28">+IF($O30="SR",IF($X30&gt;=AI$11,IF($X30&lt;=AI$12,$L30,0),0),0)</f>
        <v>0</v>
      </c>
      <c r="AJ30" s="121">
        <f t="shared" si="28"/>
        <v>0</v>
      </c>
      <c r="AK30" s="121">
        <f t="shared" si="28"/>
        <v>0</v>
      </c>
      <c r="AL30" s="121">
        <f t="shared" si="28"/>
        <v>0</v>
      </c>
      <c r="AM30" s="121">
        <f t="shared" si="28"/>
        <v>0</v>
      </c>
      <c r="AN30" s="121">
        <f t="shared" si="28"/>
        <v>0</v>
      </c>
      <c r="AO30" s="121">
        <f t="shared" si="28"/>
        <v>0</v>
      </c>
      <c r="AP30" s="121">
        <f t="shared" si="28"/>
        <v>0</v>
      </c>
      <c r="AQ30" s="121">
        <f t="shared" si="28"/>
        <v>0</v>
      </c>
      <c r="AR30" s="122">
        <f t="shared" si="28"/>
        <v>0</v>
      </c>
      <c r="AS30" s="145">
        <f t="shared" ref="AS30:BB32" si="29">+IF($O30="R",IF($X30&gt;=AS$11,IF($X30&lt;=AS$12,$L30,0),0),0)</f>
        <v>0</v>
      </c>
      <c r="AT30" s="121">
        <f t="shared" si="29"/>
        <v>0</v>
      </c>
      <c r="AU30" s="121">
        <f t="shared" si="29"/>
        <v>25.62</v>
      </c>
      <c r="AV30" s="121">
        <f t="shared" si="29"/>
        <v>0</v>
      </c>
      <c r="AW30" s="121">
        <f t="shared" si="29"/>
        <v>0</v>
      </c>
      <c r="AX30" s="121">
        <f t="shared" si="29"/>
        <v>0</v>
      </c>
      <c r="AY30" s="121">
        <f t="shared" si="29"/>
        <v>0</v>
      </c>
      <c r="AZ30" s="121">
        <f t="shared" si="29"/>
        <v>0</v>
      </c>
      <c r="BA30" s="121">
        <f t="shared" si="29"/>
        <v>0</v>
      </c>
      <c r="BB30" s="122">
        <f t="shared" si="29"/>
        <v>0</v>
      </c>
      <c r="BC30" s="145">
        <f t="shared" si="26"/>
        <v>25.62</v>
      </c>
      <c r="BD30" s="192">
        <f t="shared" si="19"/>
        <v>0</v>
      </c>
      <c r="BE30" s="192">
        <f t="shared" si="20"/>
        <v>25.62</v>
      </c>
      <c r="BF30" s="192">
        <f t="shared" si="10"/>
        <v>0</v>
      </c>
      <c r="BG30" s="192">
        <f t="shared" ref="BG30:BG32" si="30">+IF($N30=BG$12,$L30*($F30/1000+0.6),0)</f>
        <v>0</v>
      </c>
      <c r="BH30" s="192">
        <f t="shared" si="21"/>
        <v>0</v>
      </c>
      <c r="BI30" s="122"/>
      <c r="BJ30" s="123"/>
      <c r="BL30" s="125">
        <f t="shared" si="12"/>
        <v>0</v>
      </c>
      <c r="BM30" s="125">
        <f t="shared" si="22"/>
        <v>0</v>
      </c>
    </row>
    <row r="31" spans="1:74" s="81" customFormat="1" ht="16.5" customHeight="1">
      <c r="A31" s="124" t="str">
        <f t="shared" si="13"/>
        <v>OK</v>
      </c>
      <c r="C31" s="748"/>
      <c r="D31" s="113"/>
      <c r="E31" s="114"/>
      <c r="F31" s="114">
        <f t="shared" ref="F31:H32" si="31">+F30</f>
        <v>100</v>
      </c>
      <c r="G31" s="263" t="str">
        <f t="shared" si="31"/>
        <v>HD</v>
      </c>
      <c r="H31" s="115" t="str">
        <f t="shared" si="31"/>
        <v>K-9</v>
      </c>
      <c r="I31" s="117">
        <f t="shared" si="15"/>
        <v>942.19000010000002</v>
      </c>
      <c r="J31" s="264">
        <f t="shared" si="25"/>
        <v>949.42000010000004</v>
      </c>
      <c r="K31" s="267">
        <v>7.23</v>
      </c>
      <c r="L31" s="118">
        <f t="shared" si="16"/>
        <v>7.36</v>
      </c>
      <c r="M31" s="116">
        <v>19.23</v>
      </c>
      <c r="N31" s="113" t="str">
        <f t="shared" si="23"/>
        <v>SP</v>
      </c>
      <c r="O31" s="115" t="str">
        <f t="shared" si="24"/>
        <v>R</v>
      </c>
      <c r="P31" s="238">
        <f t="shared" si="3"/>
        <v>0</v>
      </c>
      <c r="Q31" s="238" t="s">
        <v>205</v>
      </c>
      <c r="R31" s="117">
        <f t="shared" si="17"/>
        <v>519.66999999999996</v>
      </c>
      <c r="S31" s="116">
        <v>521.03</v>
      </c>
      <c r="T31" s="117">
        <f t="shared" si="18"/>
        <v>518.57000000000005</v>
      </c>
      <c r="U31" s="264">
        <f t="shared" si="4"/>
        <v>519.960329</v>
      </c>
      <c r="V31" s="117">
        <f t="shared" si="5"/>
        <v>1.0999999999999091</v>
      </c>
      <c r="W31" s="118">
        <f t="shared" si="5"/>
        <v>1.0696709999999712</v>
      </c>
      <c r="X31" s="189">
        <f t="shared" si="6"/>
        <v>1.08</v>
      </c>
      <c r="Y31" s="145">
        <f t="shared" si="27"/>
        <v>0</v>
      </c>
      <c r="Z31" s="121">
        <f t="shared" si="27"/>
        <v>0</v>
      </c>
      <c r="AA31" s="121">
        <f t="shared" si="27"/>
        <v>0</v>
      </c>
      <c r="AB31" s="121">
        <f t="shared" si="27"/>
        <v>0</v>
      </c>
      <c r="AC31" s="121">
        <f t="shared" si="27"/>
        <v>0</v>
      </c>
      <c r="AD31" s="121">
        <f t="shared" si="27"/>
        <v>0</v>
      </c>
      <c r="AE31" s="121">
        <f t="shared" si="27"/>
        <v>0</v>
      </c>
      <c r="AF31" s="121">
        <f t="shared" si="27"/>
        <v>0</v>
      </c>
      <c r="AG31" s="121">
        <f t="shared" si="27"/>
        <v>0</v>
      </c>
      <c r="AH31" s="122">
        <f t="shared" si="27"/>
        <v>0</v>
      </c>
      <c r="AI31" s="145">
        <f t="shared" si="28"/>
        <v>0</v>
      </c>
      <c r="AJ31" s="121">
        <f t="shared" si="28"/>
        <v>0</v>
      </c>
      <c r="AK31" s="121">
        <f t="shared" si="28"/>
        <v>0</v>
      </c>
      <c r="AL31" s="121">
        <f t="shared" si="28"/>
        <v>0</v>
      </c>
      <c r="AM31" s="121">
        <f t="shared" si="28"/>
        <v>0</v>
      </c>
      <c r="AN31" s="121">
        <f t="shared" si="28"/>
        <v>0</v>
      </c>
      <c r="AO31" s="121">
        <f t="shared" si="28"/>
        <v>0</v>
      </c>
      <c r="AP31" s="121">
        <f t="shared" si="28"/>
        <v>0</v>
      </c>
      <c r="AQ31" s="121">
        <f t="shared" si="28"/>
        <v>0</v>
      </c>
      <c r="AR31" s="122">
        <f t="shared" si="28"/>
        <v>0</v>
      </c>
      <c r="AS31" s="145">
        <f t="shared" si="29"/>
        <v>0</v>
      </c>
      <c r="AT31" s="121">
        <f t="shared" si="29"/>
        <v>7.36</v>
      </c>
      <c r="AU31" s="121">
        <f t="shared" si="29"/>
        <v>0</v>
      </c>
      <c r="AV31" s="121">
        <f t="shared" si="29"/>
        <v>0</v>
      </c>
      <c r="AW31" s="121">
        <f t="shared" si="29"/>
        <v>0</v>
      </c>
      <c r="AX31" s="121">
        <f t="shared" si="29"/>
        <v>0</v>
      </c>
      <c r="AY31" s="121">
        <f t="shared" si="29"/>
        <v>0</v>
      </c>
      <c r="AZ31" s="121">
        <f t="shared" si="29"/>
        <v>0</v>
      </c>
      <c r="BA31" s="121">
        <f t="shared" si="29"/>
        <v>0</v>
      </c>
      <c r="BB31" s="122">
        <f t="shared" si="29"/>
        <v>0</v>
      </c>
      <c r="BC31" s="145">
        <f t="shared" si="26"/>
        <v>7.36</v>
      </c>
      <c r="BD31" s="192">
        <f t="shared" si="19"/>
        <v>0</v>
      </c>
      <c r="BE31" s="192">
        <f t="shared" si="20"/>
        <v>7.36</v>
      </c>
      <c r="BF31" s="192">
        <f t="shared" si="10"/>
        <v>0</v>
      </c>
      <c r="BG31" s="192">
        <f t="shared" si="30"/>
        <v>0</v>
      </c>
      <c r="BH31" s="192">
        <f t="shared" si="21"/>
        <v>0</v>
      </c>
      <c r="BI31" s="122"/>
      <c r="BJ31" s="123"/>
      <c r="BL31" s="125">
        <f t="shared" si="12"/>
        <v>0</v>
      </c>
      <c r="BM31" s="125">
        <f t="shared" si="22"/>
        <v>0</v>
      </c>
    </row>
    <row r="32" spans="1:74" s="81" customFormat="1" ht="16.5" customHeight="1">
      <c r="A32" s="124" t="str">
        <f t="shared" si="13"/>
        <v>OK</v>
      </c>
      <c r="C32" s="748"/>
      <c r="D32" s="113"/>
      <c r="E32" s="114"/>
      <c r="F32" s="114">
        <f t="shared" si="31"/>
        <v>100</v>
      </c>
      <c r="G32" s="263" t="str">
        <f t="shared" si="31"/>
        <v>HD</v>
      </c>
      <c r="H32" s="115" t="str">
        <f t="shared" si="31"/>
        <v>K-9</v>
      </c>
      <c r="I32" s="117">
        <f t="shared" si="15"/>
        <v>949.42000010000004</v>
      </c>
      <c r="J32" s="264">
        <f t="shared" si="25"/>
        <v>969.89000010000007</v>
      </c>
      <c r="K32" s="267">
        <v>20.47</v>
      </c>
      <c r="L32" s="118">
        <f t="shared" si="16"/>
        <v>20.62</v>
      </c>
      <c r="M32" s="116">
        <v>11.97</v>
      </c>
      <c r="N32" s="113" t="str">
        <f t="shared" si="23"/>
        <v>SP</v>
      </c>
      <c r="O32" s="115" t="str">
        <f t="shared" si="24"/>
        <v>R</v>
      </c>
      <c r="P32" s="238">
        <f t="shared" si="3"/>
        <v>0</v>
      </c>
      <c r="Q32" s="238" t="s">
        <v>205</v>
      </c>
      <c r="R32" s="117">
        <f t="shared" si="17"/>
        <v>521.03</v>
      </c>
      <c r="S32" s="116">
        <v>523.78</v>
      </c>
      <c r="T32" s="117">
        <f t="shared" si="18"/>
        <v>519.960329</v>
      </c>
      <c r="U32" s="264">
        <f t="shared" si="4"/>
        <v>522.41058799999996</v>
      </c>
      <c r="V32" s="117">
        <f t="shared" si="5"/>
        <v>1.0696709999999712</v>
      </c>
      <c r="W32" s="118">
        <f t="shared" si="5"/>
        <v>1.3694120000000112</v>
      </c>
      <c r="X32" s="189">
        <f t="shared" si="6"/>
        <v>1.22</v>
      </c>
      <c r="Y32" s="145">
        <f t="shared" si="27"/>
        <v>0</v>
      </c>
      <c r="Z32" s="121">
        <f t="shared" si="27"/>
        <v>0</v>
      </c>
      <c r="AA32" s="121">
        <f t="shared" si="27"/>
        <v>0</v>
      </c>
      <c r="AB32" s="121">
        <f t="shared" si="27"/>
        <v>0</v>
      </c>
      <c r="AC32" s="121">
        <f t="shared" si="27"/>
        <v>0</v>
      </c>
      <c r="AD32" s="121">
        <f t="shared" si="27"/>
        <v>0</v>
      </c>
      <c r="AE32" s="121">
        <f t="shared" si="27"/>
        <v>0</v>
      </c>
      <c r="AF32" s="121">
        <f t="shared" si="27"/>
        <v>0</v>
      </c>
      <c r="AG32" s="121">
        <f t="shared" si="27"/>
        <v>0</v>
      </c>
      <c r="AH32" s="122">
        <f t="shared" si="27"/>
        <v>0</v>
      </c>
      <c r="AI32" s="145">
        <f t="shared" si="28"/>
        <v>0</v>
      </c>
      <c r="AJ32" s="121">
        <f t="shared" si="28"/>
        <v>0</v>
      </c>
      <c r="AK32" s="121">
        <f t="shared" si="28"/>
        <v>0</v>
      </c>
      <c r="AL32" s="121">
        <f t="shared" si="28"/>
        <v>0</v>
      </c>
      <c r="AM32" s="121">
        <f t="shared" si="28"/>
        <v>0</v>
      </c>
      <c r="AN32" s="121">
        <f t="shared" si="28"/>
        <v>0</v>
      </c>
      <c r="AO32" s="121">
        <f t="shared" si="28"/>
        <v>0</v>
      </c>
      <c r="AP32" s="121">
        <f t="shared" si="28"/>
        <v>0</v>
      </c>
      <c r="AQ32" s="121">
        <f t="shared" si="28"/>
        <v>0</v>
      </c>
      <c r="AR32" s="122">
        <f t="shared" si="28"/>
        <v>0</v>
      </c>
      <c r="AS32" s="145">
        <f t="shared" si="29"/>
        <v>0</v>
      </c>
      <c r="AT32" s="121">
        <f t="shared" si="29"/>
        <v>20.62</v>
      </c>
      <c r="AU32" s="121">
        <f t="shared" si="29"/>
        <v>0</v>
      </c>
      <c r="AV32" s="121">
        <f t="shared" si="29"/>
        <v>0</v>
      </c>
      <c r="AW32" s="121">
        <f t="shared" si="29"/>
        <v>0</v>
      </c>
      <c r="AX32" s="121">
        <f t="shared" si="29"/>
        <v>0</v>
      </c>
      <c r="AY32" s="121">
        <f t="shared" si="29"/>
        <v>0</v>
      </c>
      <c r="AZ32" s="121">
        <f t="shared" si="29"/>
        <v>0</v>
      </c>
      <c r="BA32" s="121">
        <f t="shared" si="29"/>
        <v>0</v>
      </c>
      <c r="BB32" s="122">
        <f t="shared" si="29"/>
        <v>0</v>
      </c>
      <c r="BC32" s="145">
        <f t="shared" si="26"/>
        <v>20.62</v>
      </c>
      <c r="BD32" s="192">
        <f t="shared" si="19"/>
        <v>0</v>
      </c>
      <c r="BE32" s="192">
        <f t="shared" si="20"/>
        <v>20.62</v>
      </c>
      <c r="BF32" s="192">
        <f t="shared" si="10"/>
        <v>0</v>
      </c>
      <c r="BG32" s="192">
        <f t="shared" si="30"/>
        <v>0</v>
      </c>
      <c r="BH32" s="192">
        <f t="shared" si="21"/>
        <v>0</v>
      </c>
      <c r="BI32" s="122"/>
      <c r="BJ32" s="123"/>
      <c r="BL32" s="125">
        <f t="shared" si="12"/>
        <v>0</v>
      </c>
      <c r="BM32" s="125">
        <f t="shared" si="22"/>
        <v>0</v>
      </c>
    </row>
    <row r="33" spans="3:73" s="81" customFormat="1" ht="12.75" customHeight="1">
      <c r="C33" s="759"/>
      <c r="D33" s="178"/>
      <c r="E33" s="179"/>
      <c r="F33" s="179"/>
      <c r="G33" s="179"/>
      <c r="H33" s="180"/>
      <c r="I33" s="181"/>
      <c r="J33" s="182"/>
      <c r="K33" s="203"/>
      <c r="L33" s="204">
        <f>SUM(L14:L32)</f>
        <v>979.9899999999999</v>
      </c>
      <c r="M33" s="184"/>
      <c r="N33" s="204">
        <f>SUM(N14:N32)</f>
        <v>0</v>
      </c>
      <c r="O33" s="180"/>
      <c r="P33" s="239"/>
      <c r="Q33" s="239"/>
      <c r="R33" s="181"/>
      <c r="S33" s="182"/>
      <c r="T33" s="181"/>
      <c r="U33" s="182"/>
      <c r="V33" s="181"/>
      <c r="W33" s="183"/>
      <c r="X33" s="190"/>
      <c r="Y33" s="220">
        <f t="shared" ref="Y33:BH33" si="32">SUM(Y14:Y32)</f>
        <v>0</v>
      </c>
      <c r="Z33" s="221">
        <f t="shared" si="32"/>
        <v>0</v>
      </c>
      <c r="AA33" s="221">
        <f t="shared" si="32"/>
        <v>105.03</v>
      </c>
      <c r="AB33" s="221">
        <f t="shared" si="32"/>
        <v>250.60000000000002</v>
      </c>
      <c r="AC33" s="221">
        <f t="shared" si="32"/>
        <v>335.97</v>
      </c>
      <c r="AD33" s="221">
        <f t="shared" si="32"/>
        <v>0</v>
      </c>
      <c r="AE33" s="221">
        <f t="shared" si="32"/>
        <v>0</v>
      </c>
      <c r="AF33" s="221">
        <f t="shared" si="32"/>
        <v>0</v>
      </c>
      <c r="AG33" s="221">
        <f t="shared" si="32"/>
        <v>0</v>
      </c>
      <c r="AH33" s="222">
        <f t="shared" si="32"/>
        <v>0</v>
      </c>
      <c r="AI33" s="226">
        <f t="shared" si="32"/>
        <v>0</v>
      </c>
      <c r="AJ33" s="227">
        <f t="shared" si="32"/>
        <v>0</v>
      </c>
      <c r="AK33" s="227">
        <f t="shared" si="32"/>
        <v>0</v>
      </c>
      <c r="AL33" s="227">
        <f t="shared" si="32"/>
        <v>0</v>
      </c>
      <c r="AM33" s="227">
        <f t="shared" si="32"/>
        <v>0</v>
      </c>
      <c r="AN33" s="227">
        <f t="shared" si="32"/>
        <v>0</v>
      </c>
      <c r="AO33" s="227">
        <f t="shared" si="32"/>
        <v>0</v>
      </c>
      <c r="AP33" s="227">
        <f t="shared" si="32"/>
        <v>0</v>
      </c>
      <c r="AQ33" s="227">
        <f t="shared" si="32"/>
        <v>0</v>
      </c>
      <c r="AR33" s="228">
        <f t="shared" si="32"/>
        <v>0</v>
      </c>
      <c r="AS33" s="187">
        <f t="shared" si="32"/>
        <v>0</v>
      </c>
      <c r="AT33" s="194">
        <f t="shared" si="32"/>
        <v>74.94</v>
      </c>
      <c r="AU33" s="194">
        <f t="shared" si="32"/>
        <v>139.59</v>
      </c>
      <c r="AV33" s="194">
        <f t="shared" si="32"/>
        <v>0</v>
      </c>
      <c r="AW33" s="194">
        <f t="shared" si="32"/>
        <v>10.08</v>
      </c>
      <c r="AX33" s="194">
        <f t="shared" si="32"/>
        <v>54.97</v>
      </c>
      <c r="AY33" s="194">
        <f t="shared" si="32"/>
        <v>8.81</v>
      </c>
      <c r="AZ33" s="194">
        <f t="shared" si="32"/>
        <v>0</v>
      </c>
      <c r="BA33" s="194">
        <f t="shared" si="32"/>
        <v>0</v>
      </c>
      <c r="BB33" s="195">
        <f t="shared" si="32"/>
        <v>0</v>
      </c>
      <c r="BC33" s="223">
        <f t="shared" si="32"/>
        <v>189.89000000000001</v>
      </c>
      <c r="BD33" s="224">
        <f t="shared" si="32"/>
        <v>335.97</v>
      </c>
      <c r="BE33" s="224">
        <f t="shared" si="32"/>
        <v>121.61000000000001</v>
      </c>
      <c r="BF33" s="224">
        <f t="shared" si="32"/>
        <v>632.08000000000004</v>
      </c>
      <c r="BG33" s="224">
        <f t="shared" si="32"/>
        <v>0</v>
      </c>
      <c r="BH33" s="224">
        <f t="shared" si="32"/>
        <v>0</v>
      </c>
      <c r="BI33" s="225"/>
      <c r="BJ33" s="123"/>
      <c r="BL33" s="125">
        <f t="shared" si="12"/>
        <v>0</v>
      </c>
      <c r="BM33" s="125"/>
      <c r="BS33" s="246">
        <v>0.2</v>
      </c>
      <c r="BT33" s="246" t="s">
        <v>132</v>
      </c>
      <c r="BU33" s="246">
        <v>0.2</v>
      </c>
    </row>
    <row r="34" spans="3:73" s="81" customFormat="1" ht="6" customHeight="1" thickBot="1">
      <c r="C34" s="127"/>
      <c r="D34" s="128"/>
      <c r="E34" s="129"/>
      <c r="F34" s="129"/>
      <c r="G34" s="129"/>
      <c r="H34" s="130"/>
      <c r="I34" s="131"/>
      <c r="J34" s="132"/>
      <c r="K34" s="131"/>
      <c r="L34" s="133"/>
      <c r="M34" s="134"/>
      <c r="N34" s="128"/>
      <c r="O34" s="130"/>
      <c r="P34" s="240"/>
      <c r="Q34" s="240"/>
      <c r="R34" s="131"/>
      <c r="S34" s="132"/>
      <c r="T34" s="131"/>
      <c r="U34" s="132"/>
      <c r="V34" s="131"/>
      <c r="W34" s="133"/>
      <c r="X34" s="191"/>
      <c r="Y34" s="146"/>
      <c r="Z34" s="137"/>
      <c r="AA34" s="137"/>
      <c r="AB34" s="137"/>
      <c r="AC34" s="137"/>
      <c r="AD34" s="137"/>
      <c r="AE34" s="137"/>
      <c r="AF34" s="137"/>
      <c r="AG34" s="137"/>
      <c r="AH34" s="138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46"/>
      <c r="AT34" s="137"/>
      <c r="AU34" s="137"/>
      <c r="AV34" s="137"/>
      <c r="AW34" s="137"/>
      <c r="AX34" s="137"/>
      <c r="AY34" s="137"/>
      <c r="AZ34" s="137"/>
      <c r="BA34" s="137"/>
      <c r="BB34" s="138"/>
      <c r="BC34" s="146">
        <f>+IF(N34="SP",L34,0)</f>
        <v>0</v>
      </c>
      <c r="BD34" s="233"/>
      <c r="BE34" s="233"/>
      <c r="BF34" s="233"/>
      <c r="BG34" s="233"/>
      <c r="BH34" s="233"/>
      <c r="BI34" s="138"/>
      <c r="BJ34" s="123"/>
      <c r="BL34" s="125"/>
      <c r="BM34" s="125"/>
    </row>
    <row r="35" spans="3:73" s="81" customFormat="1" ht="12" hidden="1" customHeight="1" thickBot="1">
      <c r="C35" s="150"/>
      <c r="D35" s="151"/>
      <c r="E35" s="151"/>
      <c r="F35" s="151"/>
      <c r="G35" s="151"/>
      <c r="H35" s="151"/>
      <c r="I35" s="125"/>
      <c r="J35" s="152"/>
      <c r="K35" s="153"/>
      <c r="L35" s="153"/>
      <c r="M35" s="154"/>
      <c r="N35" s="151"/>
      <c r="O35" s="151"/>
      <c r="P35" s="151"/>
      <c r="Q35" s="151"/>
      <c r="R35" s="125"/>
      <c r="S35" s="152"/>
      <c r="T35" s="125"/>
      <c r="U35" s="152"/>
      <c r="V35" s="159" t="s">
        <v>171</v>
      </c>
      <c r="W35" s="125"/>
      <c r="X35" s="125"/>
      <c r="Y35" s="123" t="e">
        <f>+#REF!*1.5</f>
        <v>#REF!</v>
      </c>
      <c r="Z35" s="123"/>
      <c r="AA35" s="123"/>
      <c r="AB35" s="123" t="e">
        <f>+#REF!*1.5</f>
        <v>#REF!</v>
      </c>
      <c r="AC35" s="123" t="e">
        <f>+#REF!*1.5</f>
        <v>#REF!</v>
      </c>
      <c r="AD35" s="123" t="e">
        <f>+#REF!*1.5</f>
        <v>#REF!</v>
      </c>
      <c r="AE35" s="123" t="e">
        <f>+#REF!*1.5</f>
        <v>#REF!</v>
      </c>
      <c r="AF35" s="123" t="e">
        <f>+#REF!*1.5</f>
        <v>#REF!</v>
      </c>
      <c r="AG35" s="123" t="e">
        <f>+#REF!*1.5</f>
        <v>#REF!</v>
      </c>
      <c r="AH35" s="123" t="e">
        <f>+#REF!*1.5</f>
        <v>#REF!</v>
      </c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57"/>
      <c r="BD35" s="234"/>
      <c r="BE35" s="234"/>
      <c r="BF35" s="234"/>
      <c r="BG35" s="234"/>
      <c r="BH35" s="234"/>
      <c r="BI35" s="158"/>
      <c r="BJ35" s="123"/>
      <c r="BL35" s="125"/>
      <c r="BM35" s="125"/>
    </row>
    <row r="36" spans="3:73" ht="15.75" customHeight="1" thickBot="1">
      <c r="C36" s="67"/>
      <c r="D36" s="67"/>
      <c r="E36" s="67"/>
      <c r="F36" s="67"/>
      <c r="G36" s="67"/>
      <c r="H36" s="67"/>
      <c r="I36" s="76"/>
      <c r="J36" s="76"/>
      <c r="K36" s="69"/>
      <c r="L36" s="69"/>
      <c r="M36" s="69"/>
      <c r="N36" s="69"/>
      <c r="O36" s="69"/>
      <c r="P36" s="69"/>
      <c r="Q36" s="67"/>
      <c r="R36" s="69"/>
      <c r="S36" s="69"/>
      <c r="T36" s="69"/>
      <c r="U36" s="69"/>
      <c r="V36" s="69"/>
      <c r="W36" s="69"/>
      <c r="X36" s="149"/>
      <c r="Y36" s="744">
        <f>SUM(Y33:AH33)</f>
        <v>691.6</v>
      </c>
      <c r="Z36" s="745"/>
      <c r="AA36" s="745"/>
      <c r="AB36" s="745"/>
      <c r="AC36" s="745"/>
      <c r="AD36" s="745"/>
      <c r="AE36" s="745"/>
      <c r="AF36" s="745"/>
      <c r="AG36" s="745"/>
      <c r="AH36" s="746"/>
      <c r="AI36" s="744">
        <f>SUM(AI33:AR33)</f>
        <v>0</v>
      </c>
      <c r="AJ36" s="745"/>
      <c r="AK36" s="745"/>
      <c r="AL36" s="745"/>
      <c r="AM36" s="745"/>
      <c r="AN36" s="745"/>
      <c r="AO36" s="745"/>
      <c r="AP36" s="745"/>
      <c r="AQ36" s="745"/>
      <c r="AR36" s="746"/>
      <c r="AS36" s="744">
        <f>SUM(AS33:BB33)</f>
        <v>288.39000000000004</v>
      </c>
      <c r="AT36" s="745"/>
      <c r="AU36" s="745"/>
      <c r="AV36" s="745"/>
      <c r="AW36" s="745"/>
      <c r="AX36" s="745"/>
      <c r="AY36" s="745"/>
      <c r="AZ36" s="745"/>
      <c r="BA36" s="745"/>
      <c r="BB36" s="746"/>
      <c r="BC36" s="229"/>
      <c r="BD36" s="229"/>
      <c r="BE36" s="229"/>
      <c r="BF36" s="229"/>
      <c r="BG36" s="229"/>
      <c r="BH36" s="229"/>
      <c r="BI36" s="229"/>
      <c r="BJ36" s="77"/>
      <c r="BL36" s="77"/>
      <c r="BM36" s="77"/>
    </row>
    <row r="37" spans="3:73" ht="7.5" customHeight="1">
      <c r="I37" s="70"/>
      <c r="K37" s="70"/>
      <c r="L37" s="70"/>
      <c r="M37" s="70"/>
      <c r="O37" s="69"/>
      <c r="P37" s="69"/>
      <c r="U37" s="69"/>
      <c r="V37" s="67"/>
      <c r="W37" s="67"/>
      <c r="X37" s="67"/>
    </row>
    <row r="38" spans="3:73">
      <c r="I38" s="70"/>
      <c r="K38" s="70"/>
      <c r="L38" s="70"/>
      <c r="M38" s="70"/>
      <c r="U38" s="69"/>
      <c r="V38" s="67"/>
      <c r="W38" s="67"/>
      <c r="X38" s="67"/>
    </row>
    <row r="39" spans="3:73">
      <c r="I39" s="70"/>
      <c r="K39" s="70"/>
      <c r="L39" s="70"/>
      <c r="M39" s="70"/>
      <c r="AG39" s="762" t="s">
        <v>1366</v>
      </c>
      <c r="AH39" s="763"/>
      <c r="AI39" s="637"/>
      <c r="AJ39" s="637"/>
      <c r="AK39" s="637"/>
      <c r="AL39" s="637"/>
      <c r="AM39" s="637"/>
      <c r="AN39" s="637"/>
      <c r="AO39" s="637"/>
      <c r="AP39" s="637"/>
      <c r="AQ39" s="637"/>
      <c r="AR39" s="637"/>
      <c r="AS39" s="638">
        <v>0.61</v>
      </c>
      <c r="AT39" s="638">
        <v>1.01</v>
      </c>
      <c r="AU39" s="638">
        <v>1.26</v>
      </c>
      <c r="AV39" s="638">
        <v>1.51</v>
      </c>
      <c r="AW39" s="638">
        <f t="shared" ref="AW39:BA39" si="33">+AV40+0.01</f>
        <v>1.76</v>
      </c>
      <c r="AX39" s="638">
        <f t="shared" si="33"/>
        <v>2.0099999999999998</v>
      </c>
      <c r="AY39" s="638">
        <f t="shared" si="33"/>
        <v>2.5099999999999998</v>
      </c>
      <c r="AZ39" s="638">
        <f t="shared" si="33"/>
        <v>3.01</v>
      </c>
      <c r="BA39" s="638">
        <f t="shared" si="33"/>
        <v>3.51</v>
      </c>
      <c r="BB39" s="639">
        <f>+BA40+0.01</f>
        <v>4.01</v>
      </c>
      <c r="BD39" s="241"/>
    </row>
    <row r="40" spans="3:73" ht="12.75" customHeight="1">
      <c r="I40" s="70"/>
      <c r="K40" s="70"/>
      <c r="L40" s="70"/>
      <c r="M40" s="70"/>
      <c r="AG40" s="764"/>
      <c r="AH40" s="765"/>
      <c r="AI40" s="640"/>
      <c r="AJ40" s="640"/>
      <c r="AK40" s="640"/>
      <c r="AL40" s="640"/>
      <c r="AM40" s="640"/>
      <c r="AN40" s="640"/>
      <c r="AO40" s="640"/>
      <c r="AP40" s="640"/>
      <c r="AQ40" s="640"/>
      <c r="AR40" s="640"/>
      <c r="AS40" s="641">
        <v>1</v>
      </c>
      <c r="AT40" s="641">
        <v>1.25</v>
      </c>
      <c r="AU40" s="641">
        <v>1.5</v>
      </c>
      <c r="AV40" s="641">
        <v>1.75</v>
      </c>
      <c r="AW40" s="642">
        <v>2</v>
      </c>
      <c r="AX40" s="642">
        <v>2.5</v>
      </c>
      <c r="AY40" s="642">
        <v>3</v>
      </c>
      <c r="AZ40" s="642">
        <v>3.5</v>
      </c>
      <c r="BA40" s="642">
        <v>4</v>
      </c>
      <c r="BB40" s="643">
        <v>4.5</v>
      </c>
    </row>
    <row r="41" spans="3:73">
      <c r="F41" s="288" t="s">
        <v>225</v>
      </c>
      <c r="G41" s="292"/>
      <c r="H41" s="292"/>
      <c r="I41" s="290"/>
      <c r="K41" s="290" t="s">
        <v>227</v>
      </c>
      <c r="L41" s="290" t="s">
        <v>229</v>
      </c>
      <c r="M41" s="290" t="s">
        <v>239</v>
      </c>
      <c r="N41" s="290" t="s">
        <v>226</v>
      </c>
      <c r="O41" s="291" t="s">
        <v>2</v>
      </c>
      <c r="P41" s="749" t="s">
        <v>228</v>
      </c>
      <c r="Q41" s="749"/>
      <c r="S41" s="729" t="s">
        <v>676</v>
      </c>
      <c r="T41" s="729"/>
      <c r="U41" s="729"/>
      <c r="AG41" s="766" t="s">
        <v>1367</v>
      </c>
      <c r="AH41" s="767"/>
      <c r="AI41" s="637"/>
      <c r="AJ41" s="637"/>
      <c r="AK41" s="637"/>
      <c r="AL41" s="637"/>
      <c r="AM41" s="637"/>
      <c r="AN41" s="637"/>
      <c r="AO41" s="637"/>
      <c r="AP41" s="637"/>
      <c r="AQ41" s="637"/>
      <c r="AR41" s="637"/>
      <c r="AS41" s="644">
        <f>+SUM(AS14:AS15,AS28:AS32)</f>
        <v>0</v>
      </c>
      <c r="AT41" s="644">
        <f t="shared" ref="AT41:BA41" si="34">+SUM(AT14:AT15,AT28:AT32)</f>
        <v>74.94</v>
      </c>
      <c r="AU41" s="644">
        <f t="shared" si="34"/>
        <v>30.17</v>
      </c>
      <c r="AV41" s="644">
        <f t="shared" si="34"/>
        <v>0</v>
      </c>
      <c r="AW41" s="644">
        <f t="shared" si="34"/>
        <v>10.08</v>
      </c>
      <c r="AX41" s="644">
        <f t="shared" si="34"/>
        <v>6.42</v>
      </c>
      <c r="AY41" s="644">
        <f t="shared" si="34"/>
        <v>0</v>
      </c>
      <c r="AZ41" s="644">
        <f t="shared" si="34"/>
        <v>0</v>
      </c>
      <c r="BA41" s="644">
        <f t="shared" si="34"/>
        <v>0</v>
      </c>
      <c r="BB41" s="645"/>
    </row>
    <row r="42" spans="3:73">
      <c r="F42" s="293" t="s">
        <v>232</v>
      </c>
      <c r="G42" s="295"/>
      <c r="H42" s="295"/>
      <c r="I42" s="296"/>
      <c r="J42" s="295"/>
      <c r="K42" s="295"/>
      <c r="L42" s="296"/>
      <c r="M42" s="298"/>
      <c r="N42" s="295"/>
      <c r="O42" s="295" t="s">
        <v>133</v>
      </c>
      <c r="P42" s="369">
        <f>SUM(P43:Q46)</f>
        <v>679.40000000000009</v>
      </c>
      <c r="Q42" s="369"/>
      <c r="S42" s="377" t="s">
        <v>1041</v>
      </c>
      <c r="T42" s="377" t="s">
        <v>1046</v>
      </c>
      <c r="U42" s="378">
        <v>1</v>
      </c>
      <c r="AG42" s="768"/>
      <c r="AH42" s="769"/>
      <c r="AI42" s="640"/>
      <c r="AJ42" s="640"/>
      <c r="AK42" s="640"/>
      <c r="AL42" s="640"/>
      <c r="AM42" s="640"/>
      <c r="AN42" s="640"/>
      <c r="AO42" s="640"/>
      <c r="AP42" s="640"/>
      <c r="AQ42" s="640"/>
      <c r="AR42" s="640"/>
      <c r="AS42" s="646"/>
      <c r="AT42" s="646"/>
      <c r="AU42" s="646"/>
      <c r="AV42" s="646"/>
      <c r="AW42" s="646"/>
      <c r="AX42" s="646"/>
      <c r="AY42" s="646"/>
      <c r="AZ42" s="646"/>
      <c r="BA42" s="646"/>
      <c r="BB42" s="647"/>
    </row>
    <row r="43" spans="3:73">
      <c r="G43" s="247" t="s">
        <v>212</v>
      </c>
      <c r="I43" s="285"/>
      <c r="K43" s="70">
        <v>3</v>
      </c>
      <c r="L43" s="285">
        <v>0.6</v>
      </c>
      <c r="M43" s="285">
        <v>2.6</v>
      </c>
      <c r="N43" s="285">
        <v>2</v>
      </c>
      <c r="O43" s="285"/>
      <c r="P43" s="69">
        <f>+K43*(M43+2*L43)*(N43+2*L43)</f>
        <v>36.479999999999997</v>
      </c>
      <c r="Q43" s="69"/>
      <c r="S43" s="377" t="s">
        <v>1042</v>
      </c>
      <c r="T43" s="377" t="s">
        <v>1048</v>
      </c>
      <c r="U43" s="378">
        <v>1</v>
      </c>
      <c r="AG43" s="770" t="s">
        <v>1368</v>
      </c>
      <c r="AH43" s="771"/>
      <c r="AI43" s="648"/>
      <c r="AJ43" s="648"/>
      <c r="AK43" s="648"/>
      <c r="AL43" s="648"/>
      <c r="AM43" s="648"/>
      <c r="AN43" s="648"/>
      <c r="AO43" s="648"/>
      <c r="AP43" s="648"/>
      <c r="AQ43" s="648"/>
      <c r="AR43" s="648"/>
      <c r="AS43" s="649">
        <f>+SUM(AS41:AS42)</f>
        <v>0</v>
      </c>
      <c r="AT43" s="649">
        <f t="shared" ref="AT43:BA43" si="35">+SUM(AT41:AT42)</f>
        <v>74.94</v>
      </c>
      <c r="AU43" s="649">
        <f t="shared" si="35"/>
        <v>30.17</v>
      </c>
      <c r="AV43" s="649">
        <f t="shared" si="35"/>
        <v>0</v>
      </c>
      <c r="AW43" s="649">
        <f t="shared" si="35"/>
        <v>10.08</v>
      </c>
      <c r="AX43" s="649">
        <f t="shared" si="35"/>
        <v>6.42</v>
      </c>
      <c r="AY43" s="649">
        <f t="shared" si="35"/>
        <v>0</v>
      </c>
      <c r="AZ43" s="649">
        <f t="shared" si="35"/>
        <v>0</v>
      </c>
      <c r="BA43" s="649">
        <f t="shared" si="35"/>
        <v>0</v>
      </c>
      <c r="BB43" s="650"/>
    </row>
    <row r="44" spans="3:73">
      <c r="G44" s="247" t="s">
        <v>210</v>
      </c>
      <c r="I44" s="285"/>
      <c r="K44" s="70">
        <v>1</v>
      </c>
      <c r="L44" s="285"/>
      <c r="M44" s="285">
        <v>2.84</v>
      </c>
      <c r="N44" s="285"/>
      <c r="O44" s="285"/>
      <c r="P44" s="69">
        <f>+PRODUCT(K44:O44)</f>
        <v>2.84</v>
      </c>
      <c r="Q44" s="69"/>
      <c r="S44" s="377" t="s">
        <v>1050</v>
      </c>
      <c r="T44" s="377" t="s">
        <v>1049</v>
      </c>
      <c r="U44" s="378">
        <v>1</v>
      </c>
    </row>
    <row r="45" spans="3:73">
      <c r="G45" s="247" t="s">
        <v>290</v>
      </c>
      <c r="I45" s="285"/>
      <c r="K45" s="70">
        <v>1</v>
      </c>
      <c r="L45" s="285"/>
      <c r="M45" s="285">
        <v>10</v>
      </c>
      <c r="N45" s="285">
        <v>0.8</v>
      </c>
      <c r="O45" s="285"/>
      <c r="P45" s="69">
        <f>+PRODUCT(K45:O45)</f>
        <v>8</v>
      </c>
      <c r="Q45" s="69"/>
      <c r="R45" s="285"/>
      <c r="S45" s="285"/>
      <c r="T45" s="285"/>
      <c r="U45" s="285"/>
      <c r="V45" s="285"/>
      <c r="W45" s="285"/>
      <c r="X45" s="285"/>
    </row>
    <row r="46" spans="3:73">
      <c r="G46" s="247" t="s">
        <v>261</v>
      </c>
      <c r="I46" s="70"/>
      <c r="K46" s="70">
        <v>1</v>
      </c>
      <c r="L46" s="285"/>
      <c r="M46" s="285">
        <f>+BF33</f>
        <v>632.08000000000004</v>
      </c>
      <c r="N46" s="285"/>
      <c r="O46" s="285"/>
      <c r="P46" s="69">
        <f>+PRODUCT(K46:O46)</f>
        <v>632.08000000000004</v>
      </c>
      <c r="Q46" s="69"/>
      <c r="S46" s="729" t="s">
        <v>1057</v>
      </c>
      <c r="T46" s="729"/>
      <c r="U46" s="729"/>
    </row>
    <row r="47" spans="3:73">
      <c r="G47" s="247"/>
      <c r="I47" s="70"/>
      <c r="K47" s="70"/>
      <c r="L47" s="285"/>
      <c r="M47" s="285"/>
      <c r="N47" s="285"/>
      <c r="O47" s="285"/>
      <c r="P47" s="306"/>
      <c r="Q47" s="306"/>
      <c r="S47" s="377" t="s">
        <v>1066</v>
      </c>
      <c r="T47" s="377" t="s">
        <v>1071</v>
      </c>
      <c r="U47" s="378">
        <v>1</v>
      </c>
    </row>
    <row r="48" spans="3:73">
      <c r="F48" s="293" t="s">
        <v>298</v>
      </c>
      <c r="G48" s="295"/>
      <c r="H48" s="295"/>
      <c r="I48" s="296"/>
      <c r="J48" s="295"/>
      <c r="K48" s="295"/>
      <c r="L48" s="296"/>
      <c r="M48" s="296"/>
      <c r="N48" s="296"/>
      <c r="O48" s="296" t="s">
        <v>163</v>
      </c>
      <c r="P48" s="369">
        <v>1</v>
      </c>
      <c r="Q48" s="369"/>
      <c r="S48" s="377" t="s">
        <v>1066</v>
      </c>
      <c r="T48" s="377" t="s">
        <v>1072</v>
      </c>
      <c r="U48" s="378">
        <v>1</v>
      </c>
    </row>
    <row r="49" spans="1:74">
      <c r="G49" s="247" t="s">
        <v>297</v>
      </c>
      <c r="I49" s="70"/>
      <c r="K49" s="70">
        <v>1</v>
      </c>
      <c r="L49" s="285"/>
      <c r="M49" s="285">
        <v>1.1000000000000001</v>
      </c>
      <c r="N49" s="285"/>
      <c r="O49" s="285"/>
      <c r="P49" s="69">
        <f>+PRODUCT(K49:O49)</f>
        <v>1.1000000000000001</v>
      </c>
      <c r="Q49" s="69"/>
      <c r="S49" s="377" t="s">
        <v>1066</v>
      </c>
      <c r="T49" s="377" t="s">
        <v>1073</v>
      </c>
      <c r="U49" s="378">
        <v>1</v>
      </c>
    </row>
    <row r="50" spans="1:74">
      <c r="F50" s="67"/>
      <c r="G50" s="247"/>
      <c r="H50" s="285"/>
      <c r="I50" s="70"/>
      <c r="K50" s="70"/>
      <c r="L50" s="285"/>
      <c r="M50" s="285"/>
      <c r="N50" s="285"/>
      <c r="O50" s="285"/>
      <c r="P50" s="306"/>
      <c r="Q50" s="306"/>
      <c r="S50" s="377" t="s">
        <v>1066</v>
      </c>
      <c r="T50" s="377" t="s">
        <v>1074</v>
      </c>
      <c r="U50" s="378">
        <v>1</v>
      </c>
    </row>
    <row r="51" spans="1:74">
      <c r="F51" s="293" t="s">
        <v>236</v>
      </c>
      <c r="G51" s="295"/>
      <c r="H51" s="295"/>
      <c r="I51" s="296"/>
      <c r="J51" s="295"/>
      <c r="K51" s="295"/>
      <c r="L51" s="296"/>
      <c r="M51" s="296"/>
      <c r="N51" s="296"/>
      <c r="O51" s="296" t="s">
        <v>161</v>
      </c>
      <c r="P51" s="369">
        <f>SUM(P52:Q58)</f>
        <v>24</v>
      </c>
      <c r="Q51" s="369"/>
      <c r="S51" s="377" t="s">
        <v>1067</v>
      </c>
      <c r="T51" s="377" t="s">
        <v>1075</v>
      </c>
      <c r="U51" s="378">
        <v>1</v>
      </c>
    </row>
    <row r="52" spans="1:74">
      <c r="G52" s="247" t="s">
        <v>291</v>
      </c>
      <c r="I52" s="70"/>
      <c r="K52" s="70">
        <v>1</v>
      </c>
      <c r="L52" s="285"/>
      <c r="M52" s="285">
        <v>3</v>
      </c>
      <c r="N52" s="285"/>
      <c r="O52" s="285"/>
      <c r="P52" s="69">
        <f>+PRODUCT(K52:O52)</f>
        <v>3</v>
      </c>
      <c r="Q52" s="69"/>
    </row>
    <row r="53" spans="1:74">
      <c r="G53" s="247" t="s">
        <v>292</v>
      </c>
      <c r="I53" s="70"/>
      <c r="K53" s="70">
        <v>1</v>
      </c>
      <c r="L53" s="285"/>
      <c r="M53" s="285">
        <f>+M52</f>
        <v>3</v>
      </c>
      <c r="N53" s="285"/>
      <c r="O53" s="285"/>
      <c r="P53" s="69">
        <f t="shared" ref="P53:P55" si="36">+PRODUCT(K53:O53)</f>
        <v>3</v>
      </c>
      <c r="Q53" s="69"/>
      <c r="S53" s="729" t="s">
        <v>172</v>
      </c>
      <c r="T53" s="729"/>
      <c r="U53" s="729"/>
    </row>
    <row r="54" spans="1:74">
      <c r="G54" s="247" t="s">
        <v>290</v>
      </c>
      <c r="I54" s="70"/>
      <c r="K54" s="70">
        <v>1</v>
      </c>
      <c r="L54" s="285"/>
      <c r="M54" s="285">
        <v>6</v>
      </c>
      <c r="N54" s="285"/>
      <c r="O54" s="285"/>
      <c r="P54" s="69">
        <f t="shared" si="36"/>
        <v>6</v>
      </c>
      <c r="Q54" s="69"/>
      <c r="S54" s="377" t="s">
        <v>1141</v>
      </c>
      <c r="T54" s="377" t="s">
        <v>1143</v>
      </c>
      <c r="U54" s="378">
        <v>2</v>
      </c>
    </row>
    <row r="55" spans="1:74">
      <c r="G55" s="247" t="s">
        <v>293</v>
      </c>
      <c r="I55" s="70"/>
      <c r="K55" s="70">
        <v>1</v>
      </c>
      <c r="L55" s="285"/>
      <c r="M55" s="285">
        <v>4</v>
      </c>
      <c r="N55" s="285"/>
      <c r="O55" s="285"/>
      <c r="P55" s="69">
        <f t="shared" si="36"/>
        <v>4</v>
      </c>
      <c r="Q55" s="69"/>
    </row>
    <row r="56" spans="1:74">
      <c r="G56" s="247" t="s">
        <v>294</v>
      </c>
      <c r="I56" s="70"/>
      <c r="K56" s="70">
        <v>1</v>
      </c>
      <c r="L56" s="285"/>
      <c r="M56" s="285">
        <f>+M55</f>
        <v>4</v>
      </c>
      <c r="N56" s="285"/>
      <c r="O56" s="285"/>
      <c r="P56" s="69">
        <f>+PRODUCT(K56:O56)</f>
        <v>4</v>
      </c>
      <c r="Q56" s="69"/>
      <c r="S56" s="377" t="s">
        <v>1171</v>
      </c>
      <c r="T56" s="377"/>
      <c r="U56" s="556">
        <f>+U59+U61</f>
        <v>20</v>
      </c>
    </row>
    <row r="57" spans="1:74">
      <c r="G57" s="247" t="s">
        <v>295</v>
      </c>
      <c r="I57" s="70"/>
      <c r="K57" s="70">
        <v>1</v>
      </c>
      <c r="L57" s="285"/>
      <c r="M57" s="285">
        <f>+M56</f>
        <v>4</v>
      </c>
      <c r="N57" s="285"/>
      <c r="O57" s="285"/>
      <c r="P57" s="69">
        <f>+PRODUCT(K57:O57)</f>
        <v>4</v>
      </c>
      <c r="Q57" s="69"/>
    </row>
    <row r="58" spans="1:74" s="70" customFormat="1">
      <c r="A58" s="67"/>
      <c r="B58" s="67"/>
      <c r="G58" s="247"/>
      <c r="K58" s="285"/>
      <c r="L58" s="285"/>
      <c r="M58" s="285"/>
      <c r="N58" s="285"/>
      <c r="O58" s="285"/>
      <c r="P58" s="69">
        <f t="shared" ref="P58:P64" si="37">+PRODUCT(J58:O58)</f>
        <v>0</v>
      </c>
      <c r="Q58" s="69"/>
      <c r="R58" s="78"/>
      <c r="S58" s="557" t="s">
        <v>1150</v>
      </c>
      <c r="T58" s="377"/>
      <c r="U58" s="378"/>
      <c r="V58" s="78"/>
      <c r="W58" s="78"/>
      <c r="X58" s="78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N58" s="67"/>
      <c r="BO58" s="67"/>
      <c r="BP58" s="67"/>
      <c r="BQ58" s="67"/>
      <c r="BR58" s="67"/>
      <c r="BS58" s="67"/>
      <c r="BT58" s="67"/>
      <c r="BU58" s="67"/>
      <c r="BV58" s="67"/>
    </row>
    <row r="59" spans="1:74" s="70" customFormat="1">
      <c r="A59" s="67"/>
      <c r="B59" s="67"/>
      <c r="F59" s="293" t="s">
        <v>284</v>
      </c>
      <c r="G59" s="295"/>
      <c r="H59" s="295"/>
      <c r="I59" s="296"/>
      <c r="J59" s="295"/>
      <c r="K59" s="295"/>
      <c r="L59" s="296"/>
      <c r="M59" s="296"/>
      <c r="N59" s="296"/>
      <c r="O59" s="296" t="s">
        <v>133</v>
      </c>
      <c r="P59" s="369">
        <f>SUM(P60:Q60)</f>
        <v>4</v>
      </c>
      <c r="Q59" s="369"/>
      <c r="R59" s="78"/>
      <c r="S59" s="558" t="s">
        <v>1152</v>
      </c>
      <c r="T59" s="559">
        <v>51.51</v>
      </c>
      <c r="U59" s="559">
        <f>+ROUND(T59/6,0)</f>
        <v>9</v>
      </c>
      <c r="V59" s="78"/>
      <c r="W59" s="78"/>
      <c r="X59" s="78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N59" s="67"/>
      <c r="BO59" s="67"/>
      <c r="BP59" s="67"/>
      <c r="BQ59" s="67"/>
      <c r="BR59" s="67"/>
      <c r="BS59" s="67"/>
      <c r="BT59" s="67"/>
      <c r="BU59" s="67"/>
      <c r="BV59" s="67"/>
    </row>
    <row r="60" spans="1:74">
      <c r="G60" s="247" t="s">
        <v>296</v>
      </c>
      <c r="I60" s="70"/>
      <c r="K60" s="70">
        <v>1</v>
      </c>
      <c r="L60" s="285"/>
      <c r="M60" s="285">
        <v>4</v>
      </c>
      <c r="N60" s="285">
        <v>1</v>
      </c>
      <c r="O60" s="285"/>
      <c r="P60" s="69">
        <f>+PRODUCT(K60:O60)</f>
        <v>4</v>
      </c>
      <c r="Q60" s="69"/>
      <c r="S60" s="557" t="s">
        <v>1151</v>
      </c>
      <c r="T60" s="377"/>
      <c r="U60" s="378"/>
    </row>
    <row r="61" spans="1:74">
      <c r="G61" s="247"/>
      <c r="I61" s="70"/>
      <c r="K61" s="70"/>
      <c r="L61" s="285"/>
      <c r="M61" s="285"/>
      <c r="N61" s="285"/>
      <c r="O61" s="285"/>
      <c r="P61" s="306"/>
      <c r="Q61" s="306"/>
      <c r="S61" s="558" t="s">
        <v>1152</v>
      </c>
      <c r="T61" s="559">
        <v>63.82</v>
      </c>
      <c r="U61" s="559">
        <f>+ROUND(T61/6,0)</f>
        <v>11</v>
      </c>
    </row>
    <row r="62" spans="1:74">
      <c r="F62" s="293" t="s">
        <v>257</v>
      </c>
      <c r="G62" s="295"/>
      <c r="H62" s="295"/>
      <c r="I62" s="296"/>
      <c r="J62" s="295"/>
      <c r="K62" s="295"/>
      <c r="L62" s="296"/>
      <c r="M62" s="296"/>
      <c r="N62" s="296"/>
      <c r="O62" s="296" t="s">
        <v>133</v>
      </c>
      <c r="P62" s="369">
        <f>SUM(P63:Q64)</f>
        <v>10</v>
      </c>
      <c r="Q62" s="369"/>
    </row>
    <row r="63" spans="1:74">
      <c r="G63" s="247" t="s">
        <v>290</v>
      </c>
      <c r="I63" s="70"/>
      <c r="K63" s="70">
        <v>1</v>
      </c>
      <c r="L63" s="285"/>
      <c r="M63" s="285">
        <v>5</v>
      </c>
      <c r="N63" s="285">
        <v>2</v>
      </c>
      <c r="O63" s="285"/>
      <c r="P63" s="69">
        <f>+PRODUCT(K63:O63)</f>
        <v>10</v>
      </c>
      <c r="Q63" s="69"/>
    </row>
    <row r="64" spans="1:74">
      <c r="G64" s="247"/>
      <c r="I64" s="70"/>
      <c r="K64" s="285"/>
      <c r="L64" s="285"/>
      <c r="M64" s="285"/>
      <c r="N64" s="285"/>
      <c r="O64" s="285"/>
      <c r="P64" s="758">
        <f t="shared" si="37"/>
        <v>0</v>
      </c>
      <c r="Q64" s="758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6">
    <mergeCell ref="C14:C33"/>
    <mergeCell ref="Y36:AH36"/>
    <mergeCell ref="S41:U41"/>
    <mergeCell ref="BL10:BL12"/>
    <mergeCell ref="BM10:BM12"/>
    <mergeCell ref="D11:E11"/>
    <mergeCell ref="F11:H11"/>
    <mergeCell ref="I11:J11"/>
    <mergeCell ref="R11:S11"/>
    <mergeCell ref="T11:U11"/>
    <mergeCell ref="S46:U46"/>
    <mergeCell ref="S53:U53"/>
    <mergeCell ref="P64:Q64"/>
    <mergeCell ref="P41:Q41"/>
    <mergeCell ref="C3:BJ3"/>
    <mergeCell ref="C10:X10"/>
    <mergeCell ref="Y10:AH10"/>
    <mergeCell ref="AI10:AR10"/>
    <mergeCell ref="AS10:BB10"/>
    <mergeCell ref="BF10:BH10"/>
    <mergeCell ref="AI36:AR36"/>
    <mergeCell ref="AS36:BB36"/>
    <mergeCell ref="AG39:AH40"/>
    <mergeCell ref="AG41:AH41"/>
    <mergeCell ref="AG42:AH42"/>
    <mergeCell ref="AG43:AH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99"/>
  <sheetViews>
    <sheetView showGridLines="0" showZeros="0" view="pageBreakPreview" zoomScale="85" zoomScaleNormal="100" zoomScaleSheetLayoutView="85" workbookViewId="0">
      <pane xSplit="10" ySplit="12" topLeftCell="K13" activePane="bottomRight" state="frozen"/>
      <selection activeCell="H115" sqref="H115"/>
      <selection pane="topRight" activeCell="H115" sqref="H115"/>
      <selection pane="bottomLeft" activeCell="H115" sqref="H115"/>
      <selection pane="bottomRight" activeCell="V59" sqref="V59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9.44140625" style="70" customWidth="1"/>
    <col min="17" max="17" width="4.88671875" style="70" customWidth="1"/>
    <col min="18" max="18" width="9.44140625" style="78" customWidth="1"/>
    <col min="19" max="19" width="13.8867187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0.886718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30" t="s">
        <v>267</v>
      </c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0"/>
      <c r="Q3" s="730"/>
      <c r="R3" s="730"/>
      <c r="S3" s="730"/>
      <c r="T3" s="730"/>
      <c r="U3" s="730"/>
      <c r="V3" s="730"/>
      <c r="W3" s="730"/>
      <c r="X3" s="730"/>
      <c r="Y3" s="730"/>
      <c r="Z3" s="730"/>
      <c r="AA3" s="730"/>
      <c r="AB3" s="730"/>
      <c r="AC3" s="730"/>
      <c r="AD3" s="730"/>
      <c r="AE3" s="730"/>
      <c r="AF3" s="730"/>
      <c r="AG3" s="730"/>
      <c r="AH3" s="730"/>
      <c r="AI3" s="730"/>
      <c r="AJ3" s="730"/>
      <c r="AK3" s="730"/>
      <c r="AL3" s="730"/>
      <c r="AM3" s="730"/>
      <c r="AN3" s="730"/>
      <c r="AO3" s="730"/>
      <c r="AP3" s="730"/>
      <c r="AQ3" s="730"/>
      <c r="AR3" s="730"/>
      <c r="AS3" s="730"/>
      <c r="AT3" s="730"/>
      <c r="AU3" s="730"/>
      <c r="AV3" s="730"/>
      <c r="AW3" s="730"/>
      <c r="AX3" s="730"/>
      <c r="AY3" s="730"/>
      <c r="AZ3" s="730"/>
      <c r="BA3" s="730"/>
      <c r="BB3" s="730"/>
      <c r="BC3" s="730"/>
      <c r="BD3" s="730"/>
      <c r="BE3" s="730"/>
      <c r="BF3" s="730"/>
      <c r="BG3" s="730"/>
      <c r="BH3" s="730"/>
      <c r="BI3" s="730"/>
      <c r="BJ3" s="730"/>
    </row>
    <row r="4" spans="1:72" ht="23.25" customHeight="1">
      <c r="C4" s="64" t="str">
        <f>+'RESUMEN GENERAL BASE'!C4</f>
        <v>Obra</v>
      </c>
      <c r="E4" s="6"/>
      <c r="F4" s="56" t="s">
        <v>326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80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167"/>
      <c r="K5" s="167"/>
      <c r="L5" s="167"/>
      <c r="M5" s="167"/>
      <c r="N5" s="167"/>
      <c r="O5" s="167"/>
      <c r="P5" s="167"/>
      <c r="Q5" s="62"/>
      <c r="R5" s="62"/>
      <c r="S5" s="62"/>
      <c r="T5" s="281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167"/>
      <c r="K6" s="167"/>
      <c r="L6" s="167"/>
      <c r="M6" s="167"/>
      <c r="N6" s="167"/>
      <c r="O6" s="167"/>
      <c r="P6" s="167"/>
      <c r="Q6" s="62"/>
      <c r="R6" s="62"/>
      <c r="S6" s="62"/>
      <c r="T6" s="281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167"/>
      <c r="K7" s="167"/>
      <c r="L7" s="167"/>
      <c r="M7" s="167"/>
      <c r="N7" s="167"/>
      <c r="O7" s="167"/>
      <c r="P7" s="167"/>
      <c r="Q7" s="62"/>
      <c r="R7" s="62"/>
      <c r="S7" s="62"/>
      <c r="T7" s="281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63"/>
      <c r="L8" s="63"/>
      <c r="M8" s="63"/>
      <c r="N8" s="63"/>
      <c r="O8" s="63"/>
      <c r="P8" s="63"/>
      <c r="Q8" s="63"/>
      <c r="R8" s="63"/>
      <c r="S8" s="63"/>
      <c r="T8" s="282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6"/>
      <c r="J9" s="71"/>
      <c r="K9" s="71"/>
      <c r="L9" s="74"/>
      <c r="M9" s="72"/>
      <c r="N9" s="71"/>
      <c r="O9" s="71"/>
      <c r="P9" s="71"/>
      <c r="Q9" s="71"/>
      <c r="R9" s="176"/>
      <c r="S9" s="278"/>
      <c r="T9" s="278"/>
      <c r="U9" s="278"/>
      <c r="V9" s="75"/>
      <c r="W9" s="71"/>
      <c r="X9" s="71"/>
      <c r="Y9" s="174"/>
      <c r="Z9" s="174"/>
      <c r="AA9" s="174"/>
      <c r="AB9" s="174"/>
      <c r="AC9" s="174"/>
      <c r="AD9" s="174"/>
      <c r="AE9" s="174"/>
      <c r="AF9" s="174"/>
      <c r="AG9" s="174"/>
    </row>
    <row r="10" spans="1:72" s="81" customFormat="1" ht="12.75" customHeight="1">
      <c r="C10" s="731" t="s">
        <v>145</v>
      </c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2"/>
      <c r="O10" s="732"/>
      <c r="P10" s="732"/>
      <c r="Q10" s="732"/>
      <c r="R10" s="732"/>
      <c r="S10" s="732"/>
      <c r="T10" s="732"/>
      <c r="U10" s="732"/>
      <c r="V10" s="732"/>
      <c r="W10" s="732"/>
      <c r="X10" s="733"/>
      <c r="Y10" s="734" t="s">
        <v>138</v>
      </c>
      <c r="Z10" s="735"/>
      <c r="AA10" s="735"/>
      <c r="AB10" s="735"/>
      <c r="AC10" s="735"/>
      <c r="AD10" s="735"/>
      <c r="AE10" s="735"/>
      <c r="AF10" s="735"/>
      <c r="AG10" s="735"/>
      <c r="AH10" s="736"/>
      <c r="AI10" s="737" t="s">
        <v>180</v>
      </c>
      <c r="AJ10" s="738"/>
      <c r="AK10" s="738"/>
      <c r="AL10" s="738"/>
      <c r="AM10" s="738"/>
      <c r="AN10" s="738"/>
      <c r="AO10" s="738"/>
      <c r="AP10" s="738"/>
      <c r="AQ10" s="738"/>
      <c r="AR10" s="739"/>
      <c r="AS10" s="740" t="s">
        <v>181</v>
      </c>
      <c r="AT10" s="741"/>
      <c r="AU10" s="741"/>
      <c r="AV10" s="741"/>
      <c r="AW10" s="741"/>
      <c r="AX10" s="741"/>
      <c r="AY10" s="741"/>
      <c r="AZ10" s="741"/>
      <c r="BA10" s="741"/>
      <c r="BB10" s="742"/>
      <c r="BC10" s="205" t="s">
        <v>182</v>
      </c>
      <c r="BD10" s="257" t="s">
        <v>199</v>
      </c>
      <c r="BE10" s="243" t="s">
        <v>202</v>
      </c>
      <c r="BF10" s="743" t="s">
        <v>1</v>
      </c>
      <c r="BG10" s="743"/>
      <c r="BH10" s="743"/>
      <c r="BI10" s="258"/>
      <c r="BJ10" s="82"/>
      <c r="BL10" s="750" t="s">
        <v>136</v>
      </c>
      <c r="BM10" s="750" t="s">
        <v>137</v>
      </c>
    </row>
    <row r="11" spans="1:72" s="81" customFormat="1" ht="15" customHeight="1">
      <c r="C11" s="201" t="s">
        <v>143</v>
      </c>
      <c r="D11" s="753" t="s">
        <v>139</v>
      </c>
      <c r="E11" s="754"/>
      <c r="F11" s="754" t="s">
        <v>144</v>
      </c>
      <c r="G11" s="754"/>
      <c r="H11" s="755"/>
      <c r="I11" s="753" t="s">
        <v>135</v>
      </c>
      <c r="J11" s="755"/>
      <c r="K11" s="87" t="s">
        <v>140</v>
      </c>
      <c r="L11" s="88" t="s">
        <v>140</v>
      </c>
      <c r="M11" s="89" t="s">
        <v>141</v>
      </c>
      <c r="N11" s="254" t="s">
        <v>134</v>
      </c>
      <c r="O11" s="255" t="s">
        <v>134</v>
      </c>
      <c r="P11" s="235" t="s">
        <v>206</v>
      </c>
      <c r="Q11" s="235" t="s">
        <v>207</v>
      </c>
      <c r="R11" s="760" t="s">
        <v>178</v>
      </c>
      <c r="S11" s="761"/>
      <c r="T11" s="760" t="s">
        <v>179</v>
      </c>
      <c r="U11" s="761"/>
      <c r="V11" s="93" t="s">
        <v>142</v>
      </c>
      <c r="W11" s="94" t="s">
        <v>142</v>
      </c>
      <c r="X11" s="95" t="s">
        <v>142</v>
      </c>
      <c r="Y11" s="213">
        <v>0.61</v>
      </c>
      <c r="Z11" s="214">
        <v>1.01</v>
      </c>
      <c r="AA11" s="214">
        <v>1.26</v>
      </c>
      <c r="AB11" s="214">
        <v>1.51</v>
      </c>
      <c r="AC11" s="214">
        <f t="shared" ref="AC11:AG11" si="0">+AB12+0.01</f>
        <v>1.76</v>
      </c>
      <c r="AD11" s="214">
        <f t="shared" si="0"/>
        <v>2.0099999999999998</v>
      </c>
      <c r="AE11" s="214">
        <f t="shared" si="0"/>
        <v>2.5099999999999998</v>
      </c>
      <c r="AF11" s="214">
        <f t="shared" si="0"/>
        <v>3.01</v>
      </c>
      <c r="AG11" s="214">
        <f t="shared" si="0"/>
        <v>3.51</v>
      </c>
      <c r="AH11" s="215">
        <f>+AG12+0.01</f>
        <v>4.01</v>
      </c>
      <c r="AI11" s="206">
        <v>0.61</v>
      </c>
      <c r="AJ11" s="207">
        <v>1.01</v>
      </c>
      <c r="AK11" s="207">
        <v>1.26</v>
      </c>
      <c r="AL11" s="207">
        <v>1.51</v>
      </c>
      <c r="AM11" s="207">
        <f t="shared" ref="AM11:AQ11" si="1">+AL12+0.01</f>
        <v>1.76</v>
      </c>
      <c r="AN11" s="207">
        <f t="shared" si="1"/>
        <v>2.0099999999999998</v>
      </c>
      <c r="AO11" s="207">
        <f t="shared" si="1"/>
        <v>2.5099999999999998</v>
      </c>
      <c r="AP11" s="207">
        <f t="shared" si="1"/>
        <v>3.01</v>
      </c>
      <c r="AQ11" s="207">
        <f t="shared" si="1"/>
        <v>3.51</v>
      </c>
      <c r="AR11" s="208">
        <f>+AQ12+0.01</f>
        <v>4.01</v>
      </c>
      <c r="AS11" s="199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4" t="s">
        <v>183</v>
      </c>
      <c r="BD11" s="230" t="s">
        <v>200</v>
      </c>
      <c r="BE11" s="244" t="s">
        <v>203</v>
      </c>
      <c r="BF11" s="265"/>
      <c r="BG11" s="269"/>
      <c r="BH11" s="266"/>
      <c r="BI11" s="256"/>
      <c r="BJ11" s="82"/>
      <c r="BL11" s="751"/>
      <c r="BM11" s="751"/>
    </row>
    <row r="12" spans="1:72" s="81" customFormat="1" ht="15.75" customHeight="1" thickBot="1">
      <c r="C12" s="202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7" t="s">
        <v>148</v>
      </c>
      <c r="J12" s="86" t="s">
        <v>149</v>
      </c>
      <c r="K12" s="90" t="s">
        <v>146</v>
      </c>
      <c r="L12" s="91" t="s">
        <v>147</v>
      </c>
      <c r="M12" s="92" t="s">
        <v>215</v>
      </c>
      <c r="N12" s="84" t="s">
        <v>221</v>
      </c>
      <c r="O12" s="86" t="s">
        <v>152</v>
      </c>
      <c r="P12" s="236" t="s">
        <v>213</v>
      </c>
      <c r="Q12" s="236" t="s">
        <v>214</v>
      </c>
      <c r="R12" s="177" t="s">
        <v>153</v>
      </c>
      <c r="S12" s="96" t="s">
        <v>154</v>
      </c>
      <c r="T12" s="177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6">
        <v>1</v>
      </c>
      <c r="Z12" s="217">
        <v>1.25</v>
      </c>
      <c r="AA12" s="217">
        <v>1.5</v>
      </c>
      <c r="AB12" s="217">
        <v>1.75</v>
      </c>
      <c r="AC12" s="218">
        <v>2</v>
      </c>
      <c r="AD12" s="218">
        <v>2.5</v>
      </c>
      <c r="AE12" s="218">
        <v>3</v>
      </c>
      <c r="AF12" s="218">
        <v>3.5</v>
      </c>
      <c r="AG12" s="218">
        <v>4</v>
      </c>
      <c r="AH12" s="219">
        <v>4.5</v>
      </c>
      <c r="AI12" s="209">
        <v>1</v>
      </c>
      <c r="AJ12" s="210">
        <v>1.25</v>
      </c>
      <c r="AK12" s="210">
        <v>1.5</v>
      </c>
      <c r="AL12" s="210">
        <v>1.75</v>
      </c>
      <c r="AM12" s="211">
        <v>2</v>
      </c>
      <c r="AN12" s="211">
        <v>2.5</v>
      </c>
      <c r="AO12" s="211">
        <v>3</v>
      </c>
      <c r="AP12" s="211">
        <v>3.5</v>
      </c>
      <c r="AQ12" s="211">
        <v>4</v>
      </c>
      <c r="AR12" s="212">
        <v>4.5</v>
      </c>
      <c r="AS12" s="200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184</v>
      </c>
      <c r="BD12" s="231" t="s">
        <v>201</v>
      </c>
      <c r="BE12" s="245" t="s">
        <v>204</v>
      </c>
      <c r="BF12" s="242" t="s">
        <v>218</v>
      </c>
      <c r="BG12" s="242" t="s">
        <v>222</v>
      </c>
      <c r="BH12" s="242" t="s">
        <v>219</v>
      </c>
      <c r="BI12" s="148"/>
      <c r="BJ12" s="83"/>
      <c r="BL12" s="752"/>
      <c r="BM12" s="752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7"/>
      <c r="Q13" s="237"/>
      <c r="R13" s="108"/>
      <c r="S13" s="279"/>
      <c r="T13" s="108"/>
      <c r="U13" s="279"/>
      <c r="V13" s="108"/>
      <c r="W13" s="109"/>
      <c r="X13" s="188"/>
      <c r="Y13" s="193"/>
      <c r="Z13" s="100"/>
      <c r="AA13" s="100"/>
      <c r="AB13" s="100"/>
      <c r="AC13" s="110"/>
      <c r="AD13" s="110"/>
      <c r="AE13" s="110"/>
      <c r="AF13" s="110"/>
      <c r="AG13" s="110"/>
      <c r="AH13" s="111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2"/>
      <c r="BE13" s="232"/>
      <c r="BF13" s="232"/>
      <c r="BG13" s="232"/>
      <c r="BH13" s="232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47" t="s">
        <v>220</v>
      </c>
      <c r="D14" s="113"/>
      <c r="E14" s="114"/>
      <c r="F14" s="114">
        <v>300</v>
      </c>
      <c r="G14" s="114" t="s">
        <v>196</v>
      </c>
      <c r="H14" s="115" t="s">
        <v>197</v>
      </c>
      <c r="I14" s="268">
        <v>9.9999999999999995E-8</v>
      </c>
      <c r="J14" s="264">
        <v>24.41</v>
      </c>
      <c r="K14" s="267">
        <f>+J14-I14</f>
        <v>24.409999899999999</v>
      </c>
      <c r="L14" s="118">
        <f>+ROUND(K14*SQRT((M14/100)^2+1),2)</f>
        <v>24.41</v>
      </c>
      <c r="M14" s="116">
        <v>-1.66</v>
      </c>
      <c r="N14" s="113" t="s">
        <v>216</v>
      </c>
      <c r="O14" s="115" t="s">
        <v>3</v>
      </c>
      <c r="P14" s="238">
        <f t="shared" ref="P14:P33" si="3">+IF(O14="N",IF(X14&gt;1.75,"E",0),0)</f>
        <v>0</v>
      </c>
      <c r="Q14" s="238"/>
      <c r="R14" s="267">
        <v>261.68</v>
      </c>
      <c r="S14" s="116">
        <v>261.45</v>
      </c>
      <c r="T14" s="267">
        <v>260.38</v>
      </c>
      <c r="U14" s="264">
        <v>259.98</v>
      </c>
      <c r="V14" s="117">
        <f t="shared" ref="V14:W24" si="4">IF((R14-T14)&lt;0,0,R14-T14)</f>
        <v>1.3000000000000114</v>
      </c>
      <c r="W14" s="118">
        <f t="shared" si="4"/>
        <v>1.4699999999999704</v>
      </c>
      <c r="X14" s="189">
        <f t="shared" ref="X14:X33" si="5">ROUND(AVERAGE(V14:W14),2)</f>
        <v>1.38</v>
      </c>
      <c r="Y14" s="145">
        <f t="shared" ref="Y14:AH30" si="6">+IF($O14="N",IF($X14&gt;=Y$11,IF($X14&lt;=Y$12,$L14,0),0),0)</f>
        <v>0</v>
      </c>
      <c r="Z14" s="121">
        <f t="shared" si="6"/>
        <v>0</v>
      </c>
      <c r="AA14" s="121">
        <f t="shared" si="6"/>
        <v>24.41</v>
      </c>
      <c r="AB14" s="121">
        <f t="shared" si="6"/>
        <v>0</v>
      </c>
      <c r="AC14" s="121">
        <f t="shared" si="6"/>
        <v>0</v>
      </c>
      <c r="AD14" s="121">
        <f t="shared" si="6"/>
        <v>0</v>
      </c>
      <c r="AE14" s="121">
        <f t="shared" si="6"/>
        <v>0</v>
      </c>
      <c r="AF14" s="121">
        <f t="shared" si="6"/>
        <v>0</v>
      </c>
      <c r="AG14" s="121">
        <f t="shared" si="6"/>
        <v>0</v>
      </c>
      <c r="AH14" s="122">
        <f t="shared" si="6"/>
        <v>0</v>
      </c>
      <c r="AI14" s="145">
        <f t="shared" ref="AI14:AR30" si="7">+IF($O14="SR",IF($X14&gt;=AI$11,IF($X14&lt;=AI$12,$L14,0),0),0)</f>
        <v>0</v>
      </c>
      <c r="AJ14" s="121">
        <f t="shared" si="7"/>
        <v>0</v>
      </c>
      <c r="AK14" s="121">
        <f t="shared" si="7"/>
        <v>0</v>
      </c>
      <c r="AL14" s="121">
        <f t="shared" si="7"/>
        <v>0</v>
      </c>
      <c r="AM14" s="121">
        <f t="shared" si="7"/>
        <v>0</v>
      </c>
      <c r="AN14" s="121">
        <f t="shared" si="7"/>
        <v>0</v>
      </c>
      <c r="AO14" s="121">
        <f t="shared" si="7"/>
        <v>0</v>
      </c>
      <c r="AP14" s="121">
        <f t="shared" si="7"/>
        <v>0</v>
      </c>
      <c r="AQ14" s="121">
        <f t="shared" si="7"/>
        <v>0</v>
      </c>
      <c r="AR14" s="122">
        <f t="shared" si="7"/>
        <v>0</v>
      </c>
      <c r="AS14" s="145">
        <f t="shared" ref="AS14:BB30" si="8">+IF($O14="R",IF($X14&gt;=AS$11,IF($X14&lt;=AS$12,$L14,0),0),0)</f>
        <v>0</v>
      </c>
      <c r="AT14" s="121">
        <f t="shared" si="8"/>
        <v>0</v>
      </c>
      <c r="AU14" s="121">
        <f t="shared" si="8"/>
        <v>0</v>
      </c>
      <c r="AV14" s="121">
        <f t="shared" si="8"/>
        <v>0</v>
      </c>
      <c r="AW14" s="121">
        <f t="shared" si="8"/>
        <v>0</v>
      </c>
      <c r="AX14" s="121">
        <f t="shared" si="8"/>
        <v>0</v>
      </c>
      <c r="AY14" s="121">
        <f t="shared" si="8"/>
        <v>0</v>
      </c>
      <c r="AZ14" s="121">
        <f t="shared" si="8"/>
        <v>0</v>
      </c>
      <c r="BA14" s="121">
        <f t="shared" si="8"/>
        <v>0</v>
      </c>
      <c r="BB14" s="122">
        <f t="shared" si="8"/>
        <v>0</v>
      </c>
      <c r="BC14" s="145">
        <f>+L14</f>
        <v>24.41</v>
      </c>
      <c r="BD14" s="192">
        <f>+IF(P14="E",L14,0)</f>
        <v>0</v>
      </c>
      <c r="BE14" s="192">
        <f>+IF(Q14="A",L14,0)</f>
        <v>0</v>
      </c>
      <c r="BF14" s="192">
        <f>+IF($N14=BF$12,$L14*(MAX($F14/1000+0.6,0.9)),0)</f>
        <v>0</v>
      </c>
      <c r="BG14" s="192">
        <f t="shared" ref="BG14:BG30" si="9">+IF($N14=BG$12,$L14*($F14/1000+0.6),0)</f>
        <v>0</v>
      </c>
      <c r="BH14" s="192">
        <f>+IF($N14=BH$12,$L14*($F14/1000+1.7),0)</f>
        <v>0</v>
      </c>
      <c r="BI14" s="122"/>
      <c r="BJ14" s="123"/>
      <c r="BL14" s="125">
        <f t="shared" ref="BL14:BL40" si="10">+IF(N14="AF",L14,0)</f>
        <v>0</v>
      </c>
      <c r="BM14" s="125"/>
      <c r="BT14" s="124" t="s">
        <v>209</v>
      </c>
    </row>
    <row r="15" spans="1:72" s="81" customFormat="1" ht="16.5" customHeight="1">
      <c r="A15" s="124" t="str">
        <f t="shared" ref="A15:A39" si="11">+IF(SUM(Y15:BB15)&gt;0,"OK","NO")</f>
        <v>OK</v>
      </c>
      <c r="C15" s="748"/>
      <c r="D15" s="113"/>
      <c r="E15" s="114"/>
      <c r="F15" s="114">
        <f t="shared" ref="F15:H31" si="12">+F14</f>
        <v>300</v>
      </c>
      <c r="G15" s="263" t="str">
        <f t="shared" si="12"/>
        <v>HD</v>
      </c>
      <c r="H15" s="115" t="str">
        <f t="shared" si="12"/>
        <v>K-9</v>
      </c>
      <c r="I15" s="117">
        <f t="shared" ref="I15:I33" si="13">J14</f>
        <v>24.41</v>
      </c>
      <c r="J15" s="264">
        <v>217.56</v>
      </c>
      <c r="K15" s="267">
        <f t="shared" ref="K15:K39" si="14">+J15-I15</f>
        <v>193.15</v>
      </c>
      <c r="L15" s="118">
        <f t="shared" ref="L15:L33" si="15">+ROUND(K15*SQRT((M15/100)^2+1),2)</f>
        <v>193.15</v>
      </c>
      <c r="M15" s="116">
        <v>0.34</v>
      </c>
      <c r="N15" s="113" t="str">
        <f>+N14</f>
        <v>SP</v>
      </c>
      <c r="O15" s="115" t="str">
        <f>+O14</f>
        <v>N</v>
      </c>
      <c r="P15" s="238">
        <f t="shared" si="3"/>
        <v>0</v>
      </c>
      <c r="Q15" s="238"/>
      <c r="R15" s="117">
        <f t="shared" ref="R15:R33" si="16">S14</f>
        <v>261.45</v>
      </c>
      <c r="S15" s="116">
        <v>262.47000000000003</v>
      </c>
      <c r="T15" s="117">
        <f t="shared" ref="T15:T33" si="17">U14</f>
        <v>259.98</v>
      </c>
      <c r="U15" s="264">
        <f t="shared" ref="U15:U33" si="18">+T15+K15*M15/100</f>
        <v>260.63670999999999</v>
      </c>
      <c r="V15" s="117">
        <f t="shared" si="4"/>
        <v>1.4699999999999704</v>
      </c>
      <c r="W15" s="118">
        <f t="shared" si="4"/>
        <v>1.8332900000000336</v>
      </c>
      <c r="X15" s="189">
        <f t="shared" si="5"/>
        <v>1.65</v>
      </c>
      <c r="Y15" s="145">
        <f t="shared" si="6"/>
        <v>0</v>
      </c>
      <c r="Z15" s="121">
        <f t="shared" si="6"/>
        <v>0</v>
      </c>
      <c r="AA15" s="121">
        <f t="shared" si="6"/>
        <v>0</v>
      </c>
      <c r="AB15" s="121">
        <f t="shared" si="6"/>
        <v>193.15</v>
      </c>
      <c r="AC15" s="121">
        <f t="shared" si="6"/>
        <v>0</v>
      </c>
      <c r="AD15" s="121">
        <f t="shared" si="6"/>
        <v>0</v>
      </c>
      <c r="AE15" s="121">
        <f t="shared" si="6"/>
        <v>0</v>
      </c>
      <c r="AF15" s="121">
        <f t="shared" si="6"/>
        <v>0</v>
      </c>
      <c r="AG15" s="121">
        <f t="shared" si="6"/>
        <v>0</v>
      </c>
      <c r="AH15" s="122">
        <f t="shared" si="6"/>
        <v>0</v>
      </c>
      <c r="AI15" s="145">
        <f t="shared" si="7"/>
        <v>0</v>
      </c>
      <c r="AJ15" s="121">
        <f t="shared" si="7"/>
        <v>0</v>
      </c>
      <c r="AK15" s="121">
        <f t="shared" si="7"/>
        <v>0</v>
      </c>
      <c r="AL15" s="121">
        <f t="shared" si="7"/>
        <v>0</v>
      </c>
      <c r="AM15" s="121">
        <f t="shared" si="7"/>
        <v>0</v>
      </c>
      <c r="AN15" s="121">
        <f t="shared" si="7"/>
        <v>0</v>
      </c>
      <c r="AO15" s="121">
        <f t="shared" si="7"/>
        <v>0</v>
      </c>
      <c r="AP15" s="121">
        <f t="shared" si="7"/>
        <v>0</v>
      </c>
      <c r="AQ15" s="121">
        <f t="shared" si="7"/>
        <v>0</v>
      </c>
      <c r="AR15" s="122">
        <f t="shared" si="7"/>
        <v>0</v>
      </c>
      <c r="AS15" s="145">
        <f t="shared" si="8"/>
        <v>0</v>
      </c>
      <c r="AT15" s="121">
        <f t="shared" si="8"/>
        <v>0</v>
      </c>
      <c r="AU15" s="121">
        <f t="shared" si="8"/>
        <v>0</v>
      </c>
      <c r="AV15" s="121">
        <f t="shared" si="8"/>
        <v>0</v>
      </c>
      <c r="AW15" s="121">
        <f t="shared" si="8"/>
        <v>0</v>
      </c>
      <c r="AX15" s="121">
        <f t="shared" si="8"/>
        <v>0</v>
      </c>
      <c r="AY15" s="121">
        <f t="shared" si="8"/>
        <v>0</v>
      </c>
      <c r="AZ15" s="121">
        <f t="shared" si="8"/>
        <v>0</v>
      </c>
      <c r="BA15" s="121">
        <f t="shared" si="8"/>
        <v>0</v>
      </c>
      <c r="BB15" s="122">
        <f t="shared" si="8"/>
        <v>0</v>
      </c>
      <c r="BC15" s="145">
        <f>+IF(N15="SP",L15,0)</f>
        <v>193.15</v>
      </c>
      <c r="BD15" s="192">
        <f t="shared" ref="BD15:BD33" si="19">+IF(P15="E",L15,0)</f>
        <v>0</v>
      </c>
      <c r="BE15" s="192">
        <f t="shared" ref="BE15:BE33" si="20">+IF(Q15="A",L15,0)</f>
        <v>0</v>
      </c>
      <c r="BF15" s="192">
        <f t="shared" ref="BF15:BF27" si="21">+IF($N15=BF$12,$L15*(MAX($F15/1000+0.6,0.9)),0)</f>
        <v>0</v>
      </c>
      <c r="BG15" s="192">
        <f t="shared" si="9"/>
        <v>0</v>
      </c>
      <c r="BH15" s="192">
        <f t="shared" ref="BH15:BH39" si="22">+IF($N15=BH$12,$L15*($F15/1000+1.7),0)</f>
        <v>0</v>
      </c>
      <c r="BI15" s="122"/>
      <c r="BJ15" s="123"/>
      <c r="BL15" s="125">
        <f t="shared" si="10"/>
        <v>0</v>
      </c>
      <c r="BM15" s="125">
        <f t="shared" ref="BM15:BM33" si="23">+IF(O15="SP",K15,0)</f>
        <v>0</v>
      </c>
    </row>
    <row r="16" spans="1:72" s="81" customFormat="1" ht="16.5" customHeight="1">
      <c r="A16" s="124" t="str">
        <f t="shared" si="11"/>
        <v>OK</v>
      </c>
      <c r="C16" s="748"/>
      <c r="D16" s="113"/>
      <c r="E16" s="114"/>
      <c r="F16" s="114">
        <f t="shared" si="12"/>
        <v>300</v>
      </c>
      <c r="G16" s="263" t="str">
        <f t="shared" si="12"/>
        <v>HD</v>
      </c>
      <c r="H16" s="115" t="str">
        <f t="shared" si="12"/>
        <v>K-9</v>
      </c>
      <c r="I16" s="117">
        <f t="shared" si="13"/>
        <v>217.56</v>
      </c>
      <c r="J16" s="264">
        <v>227.58</v>
      </c>
      <c r="K16" s="267">
        <f t="shared" si="14"/>
        <v>10.02000000000001</v>
      </c>
      <c r="L16" s="118">
        <f t="shared" si="15"/>
        <v>10.02</v>
      </c>
      <c r="M16" s="116">
        <f>+M15</f>
        <v>0.34</v>
      </c>
      <c r="N16" s="113" t="s">
        <v>222</v>
      </c>
      <c r="O16" s="115" t="str">
        <f t="shared" ref="O16:O39" si="24">+O15</f>
        <v>N</v>
      </c>
      <c r="P16" s="238" t="str">
        <f t="shared" si="3"/>
        <v>E</v>
      </c>
      <c r="Q16" s="238"/>
      <c r="R16" s="117">
        <f t="shared" si="16"/>
        <v>262.47000000000003</v>
      </c>
      <c r="S16" s="116">
        <v>262.55</v>
      </c>
      <c r="T16" s="117">
        <f t="shared" si="17"/>
        <v>260.63670999999999</v>
      </c>
      <c r="U16" s="264">
        <f t="shared" si="18"/>
        <v>260.67077799999998</v>
      </c>
      <c r="V16" s="117">
        <f t="shared" si="4"/>
        <v>1.8332900000000336</v>
      </c>
      <c r="W16" s="118">
        <f t="shared" si="4"/>
        <v>1.879222000000027</v>
      </c>
      <c r="X16" s="189">
        <f t="shared" si="5"/>
        <v>1.86</v>
      </c>
      <c r="Y16" s="145">
        <f t="shared" si="6"/>
        <v>0</v>
      </c>
      <c r="Z16" s="121">
        <f t="shared" si="6"/>
        <v>0</v>
      </c>
      <c r="AA16" s="121">
        <f t="shared" si="6"/>
        <v>0</v>
      </c>
      <c r="AB16" s="121">
        <f t="shared" si="6"/>
        <v>0</v>
      </c>
      <c r="AC16" s="121">
        <f t="shared" si="6"/>
        <v>10.02</v>
      </c>
      <c r="AD16" s="121">
        <f t="shared" si="6"/>
        <v>0</v>
      </c>
      <c r="AE16" s="121">
        <f t="shared" si="6"/>
        <v>0</v>
      </c>
      <c r="AF16" s="121">
        <f t="shared" si="6"/>
        <v>0</v>
      </c>
      <c r="AG16" s="121">
        <f t="shared" si="6"/>
        <v>0</v>
      </c>
      <c r="AH16" s="122">
        <f t="shared" si="6"/>
        <v>0</v>
      </c>
      <c r="AI16" s="145">
        <f t="shared" si="7"/>
        <v>0</v>
      </c>
      <c r="AJ16" s="121">
        <f t="shared" si="7"/>
        <v>0</v>
      </c>
      <c r="AK16" s="121">
        <f t="shared" si="7"/>
        <v>0</v>
      </c>
      <c r="AL16" s="121">
        <f t="shared" si="7"/>
        <v>0</v>
      </c>
      <c r="AM16" s="121">
        <f t="shared" si="7"/>
        <v>0</v>
      </c>
      <c r="AN16" s="121">
        <f t="shared" si="7"/>
        <v>0</v>
      </c>
      <c r="AO16" s="121">
        <f t="shared" si="7"/>
        <v>0</v>
      </c>
      <c r="AP16" s="121">
        <f t="shared" si="7"/>
        <v>0</v>
      </c>
      <c r="AQ16" s="121">
        <f t="shared" si="7"/>
        <v>0</v>
      </c>
      <c r="AR16" s="122">
        <f t="shared" si="7"/>
        <v>0</v>
      </c>
      <c r="AS16" s="145">
        <f t="shared" si="8"/>
        <v>0</v>
      </c>
      <c r="AT16" s="121">
        <f t="shared" si="8"/>
        <v>0</v>
      </c>
      <c r="AU16" s="121">
        <f t="shared" si="8"/>
        <v>0</v>
      </c>
      <c r="AV16" s="121">
        <f t="shared" si="8"/>
        <v>0</v>
      </c>
      <c r="AW16" s="121">
        <f t="shared" si="8"/>
        <v>0</v>
      </c>
      <c r="AX16" s="121">
        <f t="shared" si="8"/>
        <v>0</v>
      </c>
      <c r="AY16" s="121">
        <f t="shared" si="8"/>
        <v>0</v>
      </c>
      <c r="AZ16" s="121">
        <f t="shared" si="8"/>
        <v>0</v>
      </c>
      <c r="BA16" s="121">
        <f t="shared" si="8"/>
        <v>0</v>
      </c>
      <c r="BB16" s="122">
        <f t="shared" si="8"/>
        <v>0</v>
      </c>
      <c r="BC16" s="145">
        <f>+IF(N16="SP",L16,0)</f>
        <v>0</v>
      </c>
      <c r="BD16" s="192">
        <f t="shared" si="19"/>
        <v>10.02</v>
      </c>
      <c r="BE16" s="192">
        <f t="shared" si="20"/>
        <v>0</v>
      </c>
      <c r="BF16" s="192">
        <f t="shared" si="21"/>
        <v>0</v>
      </c>
      <c r="BG16" s="192">
        <f t="shared" si="9"/>
        <v>9.0179999999999989</v>
      </c>
      <c r="BH16" s="192">
        <f t="shared" si="22"/>
        <v>0</v>
      </c>
      <c r="BI16" s="122"/>
      <c r="BJ16" s="123"/>
      <c r="BL16" s="125">
        <f t="shared" si="10"/>
        <v>0</v>
      </c>
      <c r="BM16" s="125">
        <f t="shared" si="23"/>
        <v>0</v>
      </c>
    </row>
    <row r="17" spans="1:74" s="81" customFormat="1" ht="16.5" customHeight="1">
      <c r="A17" s="124" t="str">
        <f t="shared" si="11"/>
        <v>OK</v>
      </c>
      <c r="C17" s="748"/>
      <c r="D17" s="113"/>
      <c r="E17" s="114"/>
      <c r="F17" s="114">
        <f t="shared" si="12"/>
        <v>300</v>
      </c>
      <c r="G17" s="263" t="str">
        <f t="shared" si="12"/>
        <v>HD</v>
      </c>
      <c r="H17" s="115" t="str">
        <f t="shared" si="12"/>
        <v>K-9</v>
      </c>
      <c r="I17" s="117">
        <f t="shared" si="13"/>
        <v>227.58</v>
      </c>
      <c r="J17" s="264">
        <v>243.08</v>
      </c>
      <c r="K17" s="267">
        <f t="shared" si="14"/>
        <v>15.5</v>
      </c>
      <c r="L17" s="118">
        <f t="shared" si="15"/>
        <v>15.5</v>
      </c>
      <c r="M17" s="116">
        <f>+M16</f>
        <v>0.34</v>
      </c>
      <c r="N17" s="113" t="s">
        <v>218</v>
      </c>
      <c r="O17" s="115" t="str">
        <f t="shared" si="24"/>
        <v>N</v>
      </c>
      <c r="P17" s="238" t="str">
        <f t="shared" si="3"/>
        <v>E</v>
      </c>
      <c r="Q17" s="238"/>
      <c r="R17" s="117">
        <f t="shared" si="16"/>
        <v>262.55</v>
      </c>
      <c r="S17" s="116">
        <v>262.39999999999998</v>
      </c>
      <c r="T17" s="117">
        <f t="shared" si="17"/>
        <v>260.67077799999998</v>
      </c>
      <c r="U17" s="264">
        <f t="shared" si="18"/>
        <v>260.723478</v>
      </c>
      <c r="V17" s="117">
        <f t="shared" si="4"/>
        <v>1.879222000000027</v>
      </c>
      <c r="W17" s="118">
        <f t="shared" si="4"/>
        <v>1.6765219999999772</v>
      </c>
      <c r="X17" s="189">
        <f t="shared" si="5"/>
        <v>1.78</v>
      </c>
      <c r="Y17" s="145">
        <f t="shared" si="6"/>
        <v>0</v>
      </c>
      <c r="Z17" s="121">
        <f t="shared" si="6"/>
        <v>0</v>
      </c>
      <c r="AA17" s="121">
        <f t="shared" si="6"/>
        <v>0</v>
      </c>
      <c r="AB17" s="121">
        <f t="shared" si="6"/>
        <v>0</v>
      </c>
      <c r="AC17" s="121">
        <f t="shared" si="6"/>
        <v>15.5</v>
      </c>
      <c r="AD17" s="121">
        <f t="shared" si="6"/>
        <v>0</v>
      </c>
      <c r="AE17" s="121">
        <f t="shared" si="6"/>
        <v>0</v>
      </c>
      <c r="AF17" s="121">
        <f t="shared" si="6"/>
        <v>0</v>
      </c>
      <c r="AG17" s="121">
        <f t="shared" si="6"/>
        <v>0</v>
      </c>
      <c r="AH17" s="122">
        <f t="shared" si="6"/>
        <v>0</v>
      </c>
      <c r="AI17" s="145">
        <f t="shared" si="7"/>
        <v>0</v>
      </c>
      <c r="AJ17" s="121">
        <f t="shared" si="7"/>
        <v>0</v>
      </c>
      <c r="AK17" s="121">
        <f t="shared" si="7"/>
        <v>0</v>
      </c>
      <c r="AL17" s="121">
        <f t="shared" si="7"/>
        <v>0</v>
      </c>
      <c r="AM17" s="121">
        <f t="shared" si="7"/>
        <v>0</v>
      </c>
      <c r="AN17" s="121">
        <f t="shared" si="7"/>
        <v>0</v>
      </c>
      <c r="AO17" s="121">
        <f t="shared" si="7"/>
        <v>0</v>
      </c>
      <c r="AP17" s="121">
        <f t="shared" si="7"/>
        <v>0</v>
      </c>
      <c r="AQ17" s="121">
        <f t="shared" si="7"/>
        <v>0</v>
      </c>
      <c r="AR17" s="122">
        <f t="shared" si="7"/>
        <v>0</v>
      </c>
      <c r="AS17" s="145">
        <f t="shared" si="8"/>
        <v>0</v>
      </c>
      <c r="AT17" s="121">
        <f t="shared" si="8"/>
        <v>0</v>
      </c>
      <c r="AU17" s="121">
        <f t="shared" si="8"/>
        <v>0</v>
      </c>
      <c r="AV17" s="121">
        <f t="shared" si="8"/>
        <v>0</v>
      </c>
      <c r="AW17" s="121">
        <f t="shared" si="8"/>
        <v>0</v>
      </c>
      <c r="AX17" s="121">
        <f t="shared" si="8"/>
        <v>0</v>
      </c>
      <c r="AY17" s="121">
        <f t="shared" si="8"/>
        <v>0</v>
      </c>
      <c r="AZ17" s="121">
        <f t="shared" si="8"/>
        <v>0</v>
      </c>
      <c r="BA17" s="121">
        <f t="shared" si="8"/>
        <v>0</v>
      </c>
      <c r="BB17" s="122">
        <f t="shared" si="8"/>
        <v>0</v>
      </c>
      <c r="BC17" s="145">
        <f>+IF(N17="SP",L17,0)</f>
        <v>0</v>
      </c>
      <c r="BD17" s="192">
        <f t="shared" si="19"/>
        <v>15.5</v>
      </c>
      <c r="BE17" s="192">
        <f t="shared" si="20"/>
        <v>0</v>
      </c>
      <c r="BF17" s="192">
        <f t="shared" si="21"/>
        <v>13.950000000000001</v>
      </c>
      <c r="BG17" s="192">
        <f t="shared" si="9"/>
        <v>0</v>
      </c>
      <c r="BH17" s="192">
        <f t="shared" si="22"/>
        <v>0</v>
      </c>
      <c r="BI17" s="122"/>
      <c r="BJ17" s="123"/>
      <c r="BL17" s="125">
        <f t="shared" si="10"/>
        <v>15.5</v>
      </c>
      <c r="BM17" s="125">
        <f t="shared" si="23"/>
        <v>0</v>
      </c>
      <c r="BR17" s="81">
        <v>0.1</v>
      </c>
      <c r="BT17" s="81" t="s">
        <v>208</v>
      </c>
      <c r="BV17" s="81">
        <v>0.1</v>
      </c>
    </row>
    <row r="18" spans="1:74" s="81" customFormat="1" ht="16.5" customHeight="1">
      <c r="A18" s="124" t="str">
        <f t="shared" si="11"/>
        <v>OK</v>
      </c>
      <c r="C18" s="748"/>
      <c r="D18" s="113"/>
      <c r="E18" s="114"/>
      <c r="F18" s="114">
        <f t="shared" si="12"/>
        <v>300</v>
      </c>
      <c r="G18" s="263" t="str">
        <f t="shared" si="12"/>
        <v>HD</v>
      </c>
      <c r="H18" s="115" t="str">
        <f t="shared" si="12"/>
        <v>K-9</v>
      </c>
      <c r="I18" s="117">
        <f t="shared" si="13"/>
        <v>243.08</v>
      </c>
      <c r="J18" s="264">
        <v>394.38</v>
      </c>
      <c r="K18" s="267">
        <v>153.47</v>
      </c>
      <c r="L18" s="118">
        <f t="shared" si="15"/>
        <v>153.69999999999999</v>
      </c>
      <c r="M18" s="116">
        <v>5.44</v>
      </c>
      <c r="N18" s="113" t="str">
        <f t="shared" ref="N18:N39" si="25">+N17</f>
        <v>AF</v>
      </c>
      <c r="O18" s="115" t="str">
        <f t="shared" si="24"/>
        <v>N</v>
      </c>
      <c r="P18" s="238" t="str">
        <f t="shared" si="3"/>
        <v>E</v>
      </c>
      <c r="Q18" s="238"/>
      <c r="R18" s="117">
        <f t="shared" si="16"/>
        <v>262.39999999999998</v>
      </c>
      <c r="S18" s="116">
        <v>271.2</v>
      </c>
      <c r="T18" s="117">
        <f t="shared" si="17"/>
        <v>260.723478</v>
      </c>
      <c r="U18" s="264">
        <v>268.95</v>
      </c>
      <c r="V18" s="117">
        <f t="shared" si="4"/>
        <v>1.6765219999999772</v>
      </c>
      <c r="W18" s="118">
        <f t="shared" si="4"/>
        <v>2.25</v>
      </c>
      <c r="X18" s="189">
        <f t="shared" si="5"/>
        <v>1.96</v>
      </c>
      <c r="Y18" s="145">
        <f t="shared" si="6"/>
        <v>0</v>
      </c>
      <c r="Z18" s="121">
        <f t="shared" si="6"/>
        <v>0</v>
      </c>
      <c r="AA18" s="121">
        <f t="shared" si="6"/>
        <v>0</v>
      </c>
      <c r="AB18" s="121">
        <f t="shared" si="6"/>
        <v>0</v>
      </c>
      <c r="AC18" s="121">
        <f t="shared" si="6"/>
        <v>153.69999999999999</v>
      </c>
      <c r="AD18" s="121">
        <f t="shared" si="6"/>
        <v>0</v>
      </c>
      <c r="AE18" s="121">
        <f t="shared" si="6"/>
        <v>0</v>
      </c>
      <c r="AF18" s="121">
        <f t="shared" si="6"/>
        <v>0</v>
      </c>
      <c r="AG18" s="121">
        <f t="shared" si="6"/>
        <v>0</v>
      </c>
      <c r="AH18" s="122">
        <f t="shared" si="6"/>
        <v>0</v>
      </c>
      <c r="AI18" s="145">
        <f t="shared" si="7"/>
        <v>0</v>
      </c>
      <c r="AJ18" s="121">
        <f t="shared" si="7"/>
        <v>0</v>
      </c>
      <c r="AK18" s="121">
        <f t="shared" si="7"/>
        <v>0</v>
      </c>
      <c r="AL18" s="121">
        <f t="shared" si="7"/>
        <v>0</v>
      </c>
      <c r="AM18" s="121">
        <f t="shared" si="7"/>
        <v>0</v>
      </c>
      <c r="AN18" s="121">
        <f t="shared" si="7"/>
        <v>0</v>
      </c>
      <c r="AO18" s="121">
        <f t="shared" si="7"/>
        <v>0</v>
      </c>
      <c r="AP18" s="121">
        <f t="shared" si="7"/>
        <v>0</v>
      </c>
      <c r="AQ18" s="121">
        <f t="shared" si="7"/>
        <v>0</v>
      </c>
      <c r="AR18" s="122">
        <f t="shared" si="7"/>
        <v>0</v>
      </c>
      <c r="AS18" s="145">
        <f t="shared" si="8"/>
        <v>0</v>
      </c>
      <c r="AT18" s="121">
        <f t="shared" si="8"/>
        <v>0</v>
      </c>
      <c r="AU18" s="121">
        <f t="shared" si="8"/>
        <v>0</v>
      </c>
      <c r="AV18" s="121">
        <f t="shared" si="8"/>
        <v>0</v>
      </c>
      <c r="AW18" s="121">
        <f t="shared" si="8"/>
        <v>0</v>
      </c>
      <c r="AX18" s="121">
        <f t="shared" si="8"/>
        <v>0</v>
      </c>
      <c r="AY18" s="121">
        <f t="shared" si="8"/>
        <v>0</v>
      </c>
      <c r="AZ18" s="121">
        <f t="shared" si="8"/>
        <v>0</v>
      </c>
      <c r="BA18" s="121">
        <f t="shared" si="8"/>
        <v>0</v>
      </c>
      <c r="BB18" s="122">
        <f t="shared" si="8"/>
        <v>0</v>
      </c>
      <c r="BC18" s="145">
        <f>+IF(N18="SP",L18,0)</f>
        <v>0</v>
      </c>
      <c r="BD18" s="192">
        <f t="shared" si="19"/>
        <v>153.69999999999999</v>
      </c>
      <c r="BE18" s="192">
        <f t="shared" si="20"/>
        <v>0</v>
      </c>
      <c r="BF18" s="192">
        <f t="shared" si="21"/>
        <v>138.32999999999998</v>
      </c>
      <c r="BG18" s="192">
        <f t="shared" si="9"/>
        <v>0</v>
      </c>
      <c r="BH18" s="192">
        <f t="shared" si="22"/>
        <v>0</v>
      </c>
      <c r="BI18" s="122"/>
      <c r="BJ18" s="123"/>
      <c r="BL18" s="125">
        <f t="shared" si="10"/>
        <v>153.69999999999999</v>
      </c>
      <c r="BM18" s="125">
        <f t="shared" si="23"/>
        <v>0</v>
      </c>
    </row>
    <row r="19" spans="1:74" s="81" customFormat="1" ht="16.5" customHeight="1">
      <c r="A19" s="124" t="str">
        <f t="shared" si="11"/>
        <v>OK</v>
      </c>
      <c r="C19" s="748"/>
      <c r="D19" s="113"/>
      <c r="E19" s="114"/>
      <c r="F19" s="114">
        <f t="shared" si="12"/>
        <v>300</v>
      </c>
      <c r="G19" s="263" t="str">
        <f t="shared" si="12"/>
        <v>HD</v>
      </c>
      <c r="H19" s="115" t="str">
        <f t="shared" si="12"/>
        <v>K-9</v>
      </c>
      <c r="I19" s="117">
        <f t="shared" si="13"/>
        <v>394.38</v>
      </c>
      <c r="J19" s="264">
        <v>577.97</v>
      </c>
      <c r="K19" s="267">
        <f t="shared" si="14"/>
        <v>183.59000000000003</v>
      </c>
      <c r="L19" s="118">
        <f t="shared" si="15"/>
        <v>183.62</v>
      </c>
      <c r="M19" s="116">
        <v>1.8</v>
      </c>
      <c r="N19" s="113" t="str">
        <f t="shared" si="25"/>
        <v>AF</v>
      </c>
      <c r="O19" s="115" t="str">
        <f t="shared" si="24"/>
        <v>N</v>
      </c>
      <c r="P19" s="238" t="str">
        <f t="shared" si="3"/>
        <v>E</v>
      </c>
      <c r="Q19" s="238"/>
      <c r="R19" s="117">
        <f t="shared" si="16"/>
        <v>271.2</v>
      </c>
      <c r="S19" s="116">
        <v>273.76</v>
      </c>
      <c r="T19" s="117">
        <f t="shared" si="17"/>
        <v>268.95</v>
      </c>
      <c r="U19" s="264">
        <v>272.26</v>
      </c>
      <c r="V19" s="117">
        <f t="shared" si="4"/>
        <v>2.25</v>
      </c>
      <c r="W19" s="118">
        <f t="shared" si="4"/>
        <v>1.5</v>
      </c>
      <c r="X19" s="189">
        <f t="shared" si="5"/>
        <v>1.88</v>
      </c>
      <c r="Y19" s="145">
        <f t="shared" si="6"/>
        <v>0</v>
      </c>
      <c r="Z19" s="121">
        <f t="shared" si="6"/>
        <v>0</v>
      </c>
      <c r="AA19" s="121">
        <f t="shared" si="6"/>
        <v>0</v>
      </c>
      <c r="AB19" s="121">
        <f t="shared" si="6"/>
        <v>0</v>
      </c>
      <c r="AC19" s="121">
        <f t="shared" si="6"/>
        <v>183.62</v>
      </c>
      <c r="AD19" s="121">
        <f t="shared" si="6"/>
        <v>0</v>
      </c>
      <c r="AE19" s="121">
        <f t="shared" si="6"/>
        <v>0</v>
      </c>
      <c r="AF19" s="121">
        <f t="shared" si="6"/>
        <v>0</v>
      </c>
      <c r="AG19" s="121">
        <f t="shared" si="6"/>
        <v>0</v>
      </c>
      <c r="AH19" s="122">
        <f t="shared" si="6"/>
        <v>0</v>
      </c>
      <c r="AI19" s="145">
        <f t="shared" si="7"/>
        <v>0</v>
      </c>
      <c r="AJ19" s="121">
        <f t="shared" si="7"/>
        <v>0</v>
      </c>
      <c r="AK19" s="121">
        <f t="shared" si="7"/>
        <v>0</v>
      </c>
      <c r="AL19" s="121">
        <f t="shared" si="7"/>
        <v>0</v>
      </c>
      <c r="AM19" s="121">
        <f t="shared" si="7"/>
        <v>0</v>
      </c>
      <c r="AN19" s="121">
        <f t="shared" si="7"/>
        <v>0</v>
      </c>
      <c r="AO19" s="121">
        <f t="shared" si="7"/>
        <v>0</v>
      </c>
      <c r="AP19" s="121">
        <f t="shared" si="7"/>
        <v>0</v>
      </c>
      <c r="AQ19" s="121">
        <f t="shared" si="7"/>
        <v>0</v>
      </c>
      <c r="AR19" s="122">
        <f t="shared" si="7"/>
        <v>0</v>
      </c>
      <c r="AS19" s="145">
        <f t="shared" si="8"/>
        <v>0</v>
      </c>
      <c r="AT19" s="121">
        <f t="shared" si="8"/>
        <v>0</v>
      </c>
      <c r="AU19" s="121">
        <f t="shared" si="8"/>
        <v>0</v>
      </c>
      <c r="AV19" s="121">
        <f t="shared" si="8"/>
        <v>0</v>
      </c>
      <c r="AW19" s="121">
        <f t="shared" si="8"/>
        <v>0</v>
      </c>
      <c r="AX19" s="121">
        <f t="shared" si="8"/>
        <v>0</v>
      </c>
      <c r="AY19" s="121">
        <f t="shared" si="8"/>
        <v>0</v>
      </c>
      <c r="AZ19" s="121">
        <f t="shared" si="8"/>
        <v>0</v>
      </c>
      <c r="BA19" s="121">
        <f t="shared" si="8"/>
        <v>0</v>
      </c>
      <c r="BB19" s="122">
        <f t="shared" si="8"/>
        <v>0</v>
      </c>
      <c r="BC19" s="145">
        <f t="shared" ref="BC19:BC33" si="26">+IF(N19="SP",L19,0)</f>
        <v>0</v>
      </c>
      <c r="BD19" s="192">
        <f t="shared" si="19"/>
        <v>183.62</v>
      </c>
      <c r="BE19" s="192">
        <f t="shared" si="20"/>
        <v>0</v>
      </c>
      <c r="BF19" s="192">
        <f t="shared" si="21"/>
        <v>165.25800000000001</v>
      </c>
      <c r="BG19" s="192">
        <f t="shared" si="9"/>
        <v>0</v>
      </c>
      <c r="BH19" s="192">
        <f t="shared" si="22"/>
        <v>0</v>
      </c>
      <c r="BI19" s="122"/>
      <c r="BJ19" s="123"/>
      <c r="BL19" s="125">
        <f t="shared" si="10"/>
        <v>183.62</v>
      </c>
      <c r="BM19" s="125">
        <f t="shared" si="23"/>
        <v>0</v>
      </c>
    </row>
    <row r="20" spans="1:74" s="81" customFormat="1" ht="16.5" customHeight="1">
      <c r="A20" s="124" t="str">
        <f t="shared" si="11"/>
        <v>OK</v>
      </c>
      <c r="C20" s="748"/>
      <c r="D20" s="113"/>
      <c r="E20" s="114"/>
      <c r="F20" s="114">
        <f t="shared" si="12"/>
        <v>300</v>
      </c>
      <c r="G20" s="263" t="str">
        <f t="shared" si="12"/>
        <v>HD</v>
      </c>
      <c r="H20" s="115" t="str">
        <f t="shared" si="12"/>
        <v>K-9</v>
      </c>
      <c r="I20" s="117">
        <f t="shared" si="13"/>
        <v>577.97</v>
      </c>
      <c r="J20" s="264">
        <v>773.42</v>
      </c>
      <c r="K20" s="267">
        <f t="shared" si="14"/>
        <v>195.44999999999993</v>
      </c>
      <c r="L20" s="118">
        <f t="shared" si="15"/>
        <v>195.46</v>
      </c>
      <c r="M20" s="116">
        <v>-0.84</v>
      </c>
      <c r="N20" s="113" t="str">
        <f t="shared" si="25"/>
        <v>AF</v>
      </c>
      <c r="O20" s="115" t="str">
        <f t="shared" si="24"/>
        <v>N</v>
      </c>
      <c r="P20" s="238">
        <f t="shared" si="3"/>
        <v>0</v>
      </c>
      <c r="Q20" s="238"/>
      <c r="R20" s="117">
        <f t="shared" si="16"/>
        <v>273.76</v>
      </c>
      <c r="S20" s="116">
        <v>272.55</v>
      </c>
      <c r="T20" s="117">
        <f t="shared" si="17"/>
        <v>272.26</v>
      </c>
      <c r="U20" s="264">
        <f t="shared" si="18"/>
        <v>270.61822000000001</v>
      </c>
      <c r="V20" s="117">
        <f t="shared" si="4"/>
        <v>1.5</v>
      </c>
      <c r="W20" s="118">
        <f t="shared" si="4"/>
        <v>1.9317800000000034</v>
      </c>
      <c r="X20" s="189">
        <f t="shared" si="5"/>
        <v>1.72</v>
      </c>
      <c r="Y20" s="145">
        <f t="shared" si="6"/>
        <v>0</v>
      </c>
      <c r="Z20" s="121">
        <f t="shared" si="6"/>
        <v>0</v>
      </c>
      <c r="AA20" s="121">
        <f t="shared" si="6"/>
        <v>0</v>
      </c>
      <c r="AB20" s="121">
        <f t="shared" si="6"/>
        <v>195.46</v>
      </c>
      <c r="AC20" s="121">
        <f t="shared" si="6"/>
        <v>0</v>
      </c>
      <c r="AD20" s="121">
        <f t="shared" si="6"/>
        <v>0</v>
      </c>
      <c r="AE20" s="121">
        <f t="shared" si="6"/>
        <v>0</v>
      </c>
      <c r="AF20" s="121">
        <f t="shared" si="6"/>
        <v>0</v>
      </c>
      <c r="AG20" s="121">
        <f t="shared" si="6"/>
        <v>0</v>
      </c>
      <c r="AH20" s="122">
        <f t="shared" si="6"/>
        <v>0</v>
      </c>
      <c r="AI20" s="145">
        <f t="shared" si="7"/>
        <v>0</v>
      </c>
      <c r="AJ20" s="121">
        <f t="shared" si="7"/>
        <v>0</v>
      </c>
      <c r="AK20" s="121">
        <f t="shared" si="7"/>
        <v>0</v>
      </c>
      <c r="AL20" s="121">
        <f t="shared" si="7"/>
        <v>0</v>
      </c>
      <c r="AM20" s="121">
        <f t="shared" si="7"/>
        <v>0</v>
      </c>
      <c r="AN20" s="121">
        <f t="shared" si="7"/>
        <v>0</v>
      </c>
      <c r="AO20" s="121">
        <f t="shared" si="7"/>
        <v>0</v>
      </c>
      <c r="AP20" s="121">
        <f t="shared" si="7"/>
        <v>0</v>
      </c>
      <c r="AQ20" s="121">
        <f t="shared" si="7"/>
        <v>0</v>
      </c>
      <c r="AR20" s="122">
        <f t="shared" si="7"/>
        <v>0</v>
      </c>
      <c r="AS20" s="145">
        <f t="shared" si="8"/>
        <v>0</v>
      </c>
      <c r="AT20" s="121">
        <f t="shared" si="8"/>
        <v>0</v>
      </c>
      <c r="AU20" s="121">
        <f t="shared" si="8"/>
        <v>0</v>
      </c>
      <c r="AV20" s="121">
        <f t="shared" si="8"/>
        <v>0</v>
      </c>
      <c r="AW20" s="121">
        <f t="shared" si="8"/>
        <v>0</v>
      </c>
      <c r="AX20" s="121">
        <f t="shared" si="8"/>
        <v>0</v>
      </c>
      <c r="AY20" s="121">
        <f t="shared" si="8"/>
        <v>0</v>
      </c>
      <c r="AZ20" s="121">
        <f t="shared" si="8"/>
        <v>0</v>
      </c>
      <c r="BA20" s="121">
        <f t="shared" si="8"/>
        <v>0</v>
      </c>
      <c r="BB20" s="122">
        <f t="shared" si="8"/>
        <v>0</v>
      </c>
      <c r="BC20" s="145">
        <f t="shared" si="26"/>
        <v>0</v>
      </c>
      <c r="BD20" s="192">
        <f t="shared" si="19"/>
        <v>0</v>
      </c>
      <c r="BE20" s="192">
        <f t="shared" si="20"/>
        <v>0</v>
      </c>
      <c r="BF20" s="192">
        <f t="shared" si="21"/>
        <v>175.91400000000002</v>
      </c>
      <c r="BG20" s="192">
        <f t="shared" si="9"/>
        <v>0</v>
      </c>
      <c r="BH20" s="192">
        <f t="shared" si="22"/>
        <v>0</v>
      </c>
      <c r="BI20" s="122"/>
      <c r="BJ20" s="123"/>
      <c r="BL20" s="125">
        <f t="shared" si="10"/>
        <v>195.46</v>
      </c>
      <c r="BM20" s="125">
        <f t="shared" si="23"/>
        <v>0</v>
      </c>
    </row>
    <row r="21" spans="1:74" s="81" customFormat="1" ht="16.5" customHeight="1">
      <c r="A21" s="124" t="str">
        <f t="shared" si="11"/>
        <v>OK</v>
      </c>
      <c r="C21" s="748"/>
      <c r="D21" s="113"/>
      <c r="E21" s="114"/>
      <c r="F21" s="114">
        <f t="shared" si="12"/>
        <v>300</v>
      </c>
      <c r="G21" s="263" t="str">
        <f t="shared" si="12"/>
        <v>HD</v>
      </c>
      <c r="H21" s="115" t="str">
        <f t="shared" si="12"/>
        <v>K-9</v>
      </c>
      <c r="I21" s="117">
        <f t="shared" si="13"/>
        <v>773.42</v>
      </c>
      <c r="J21" s="264">
        <v>868.34</v>
      </c>
      <c r="K21" s="267">
        <f t="shared" si="14"/>
        <v>94.920000000000073</v>
      </c>
      <c r="L21" s="118">
        <f t="shared" si="15"/>
        <v>94.92</v>
      </c>
      <c r="M21" s="116">
        <v>0.59</v>
      </c>
      <c r="N21" s="113" t="str">
        <f t="shared" si="25"/>
        <v>AF</v>
      </c>
      <c r="O21" s="115" t="str">
        <f t="shared" si="24"/>
        <v>N</v>
      </c>
      <c r="P21" s="238" t="str">
        <f t="shared" si="3"/>
        <v>E</v>
      </c>
      <c r="Q21" s="238"/>
      <c r="R21" s="117">
        <f t="shared" si="16"/>
        <v>272.55</v>
      </c>
      <c r="S21" s="116">
        <v>273.7</v>
      </c>
      <c r="T21" s="117">
        <f t="shared" si="17"/>
        <v>270.61822000000001</v>
      </c>
      <c r="U21" s="264">
        <f t="shared" si="18"/>
        <v>271.178248</v>
      </c>
      <c r="V21" s="117">
        <f t="shared" si="4"/>
        <v>1.9317800000000034</v>
      </c>
      <c r="W21" s="118">
        <f t="shared" si="4"/>
        <v>2.5217519999999922</v>
      </c>
      <c r="X21" s="189">
        <f t="shared" si="5"/>
        <v>2.23</v>
      </c>
      <c r="Y21" s="145">
        <f t="shared" si="6"/>
        <v>0</v>
      </c>
      <c r="Z21" s="121">
        <f t="shared" si="6"/>
        <v>0</v>
      </c>
      <c r="AA21" s="121">
        <f t="shared" si="6"/>
        <v>0</v>
      </c>
      <c r="AB21" s="121">
        <f t="shared" si="6"/>
        <v>0</v>
      </c>
      <c r="AC21" s="121">
        <f t="shared" si="6"/>
        <v>0</v>
      </c>
      <c r="AD21" s="121">
        <f t="shared" si="6"/>
        <v>94.92</v>
      </c>
      <c r="AE21" s="121">
        <f t="shared" si="6"/>
        <v>0</v>
      </c>
      <c r="AF21" s="121">
        <f t="shared" si="6"/>
        <v>0</v>
      </c>
      <c r="AG21" s="121">
        <f t="shared" si="6"/>
        <v>0</v>
      </c>
      <c r="AH21" s="122">
        <f t="shared" si="6"/>
        <v>0</v>
      </c>
      <c r="AI21" s="145">
        <f t="shared" si="7"/>
        <v>0</v>
      </c>
      <c r="AJ21" s="121">
        <f t="shared" si="7"/>
        <v>0</v>
      </c>
      <c r="AK21" s="121">
        <f t="shared" si="7"/>
        <v>0</v>
      </c>
      <c r="AL21" s="121">
        <f t="shared" si="7"/>
        <v>0</v>
      </c>
      <c r="AM21" s="121">
        <f t="shared" si="7"/>
        <v>0</v>
      </c>
      <c r="AN21" s="121">
        <f t="shared" si="7"/>
        <v>0</v>
      </c>
      <c r="AO21" s="121">
        <f t="shared" si="7"/>
        <v>0</v>
      </c>
      <c r="AP21" s="121">
        <f t="shared" si="7"/>
        <v>0</v>
      </c>
      <c r="AQ21" s="121">
        <f t="shared" si="7"/>
        <v>0</v>
      </c>
      <c r="AR21" s="122">
        <f t="shared" si="7"/>
        <v>0</v>
      </c>
      <c r="AS21" s="145">
        <f t="shared" si="8"/>
        <v>0</v>
      </c>
      <c r="AT21" s="121">
        <f t="shared" si="8"/>
        <v>0</v>
      </c>
      <c r="AU21" s="121">
        <f t="shared" si="8"/>
        <v>0</v>
      </c>
      <c r="AV21" s="121">
        <f t="shared" si="8"/>
        <v>0</v>
      </c>
      <c r="AW21" s="121">
        <f t="shared" si="8"/>
        <v>0</v>
      </c>
      <c r="AX21" s="121">
        <f t="shared" si="8"/>
        <v>0</v>
      </c>
      <c r="AY21" s="121">
        <f t="shared" si="8"/>
        <v>0</v>
      </c>
      <c r="AZ21" s="121">
        <f t="shared" si="8"/>
        <v>0</v>
      </c>
      <c r="BA21" s="121">
        <f t="shared" si="8"/>
        <v>0</v>
      </c>
      <c r="BB21" s="122">
        <f t="shared" si="8"/>
        <v>0</v>
      </c>
      <c r="BC21" s="145">
        <f t="shared" si="26"/>
        <v>0</v>
      </c>
      <c r="BD21" s="192">
        <f t="shared" si="19"/>
        <v>94.92</v>
      </c>
      <c r="BE21" s="192">
        <f t="shared" si="20"/>
        <v>0</v>
      </c>
      <c r="BF21" s="192">
        <f t="shared" si="21"/>
        <v>85.427999999999997</v>
      </c>
      <c r="BG21" s="192">
        <f t="shared" si="9"/>
        <v>0</v>
      </c>
      <c r="BH21" s="192">
        <f t="shared" si="22"/>
        <v>0</v>
      </c>
      <c r="BI21" s="122"/>
      <c r="BJ21" s="123"/>
      <c r="BL21" s="125">
        <f t="shared" si="10"/>
        <v>94.92</v>
      </c>
      <c r="BM21" s="125">
        <f t="shared" si="23"/>
        <v>0</v>
      </c>
    </row>
    <row r="22" spans="1:74" s="81" customFormat="1" ht="16.5" customHeight="1">
      <c r="A22" s="124" t="str">
        <f t="shared" si="11"/>
        <v>OK</v>
      </c>
      <c r="C22" s="748"/>
      <c r="D22" s="113"/>
      <c r="E22" s="114"/>
      <c r="F22" s="114">
        <f t="shared" si="12"/>
        <v>300</v>
      </c>
      <c r="G22" s="263" t="str">
        <f t="shared" si="12"/>
        <v>HD</v>
      </c>
      <c r="H22" s="115" t="str">
        <f t="shared" si="12"/>
        <v>K-9</v>
      </c>
      <c r="I22" s="117">
        <f t="shared" si="13"/>
        <v>868.34</v>
      </c>
      <c r="J22" s="264">
        <v>992.23</v>
      </c>
      <c r="K22" s="267">
        <f t="shared" si="14"/>
        <v>123.88999999999999</v>
      </c>
      <c r="L22" s="118">
        <f t="shared" si="15"/>
        <v>123.94</v>
      </c>
      <c r="M22" s="116">
        <v>2.78</v>
      </c>
      <c r="N22" s="113" t="str">
        <f t="shared" si="25"/>
        <v>AF</v>
      </c>
      <c r="O22" s="115" t="str">
        <f t="shared" si="24"/>
        <v>N</v>
      </c>
      <c r="P22" s="238" t="str">
        <f t="shared" si="3"/>
        <v>E</v>
      </c>
      <c r="Q22" s="238"/>
      <c r="R22" s="117">
        <f t="shared" si="16"/>
        <v>273.7</v>
      </c>
      <c r="S22" s="116">
        <v>276.23</v>
      </c>
      <c r="T22" s="117">
        <f t="shared" si="17"/>
        <v>271.178248</v>
      </c>
      <c r="U22" s="264">
        <f t="shared" si="18"/>
        <v>274.62239</v>
      </c>
      <c r="V22" s="117">
        <f t="shared" si="4"/>
        <v>2.5217519999999922</v>
      </c>
      <c r="W22" s="118">
        <f t="shared" si="4"/>
        <v>1.6076100000000224</v>
      </c>
      <c r="X22" s="189">
        <f t="shared" si="5"/>
        <v>2.06</v>
      </c>
      <c r="Y22" s="145">
        <f t="shared" si="6"/>
        <v>0</v>
      </c>
      <c r="Z22" s="121">
        <f t="shared" si="6"/>
        <v>0</v>
      </c>
      <c r="AA22" s="121">
        <f t="shared" si="6"/>
        <v>0</v>
      </c>
      <c r="AB22" s="121">
        <f t="shared" si="6"/>
        <v>0</v>
      </c>
      <c r="AC22" s="121">
        <f t="shared" si="6"/>
        <v>0</v>
      </c>
      <c r="AD22" s="121">
        <f t="shared" si="6"/>
        <v>123.94</v>
      </c>
      <c r="AE22" s="121">
        <f t="shared" si="6"/>
        <v>0</v>
      </c>
      <c r="AF22" s="121">
        <f t="shared" si="6"/>
        <v>0</v>
      </c>
      <c r="AG22" s="121">
        <f t="shared" si="6"/>
        <v>0</v>
      </c>
      <c r="AH22" s="122">
        <f t="shared" si="6"/>
        <v>0</v>
      </c>
      <c r="AI22" s="145">
        <f t="shared" si="7"/>
        <v>0</v>
      </c>
      <c r="AJ22" s="121">
        <f t="shared" si="7"/>
        <v>0</v>
      </c>
      <c r="AK22" s="121">
        <f t="shared" si="7"/>
        <v>0</v>
      </c>
      <c r="AL22" s="121">
        <f t="shared" si="7"/>
        <v>0</v>
      </c>
      <c r="AM22" s="121">
        <f t="shared" si="7"/>
        <v>0</v>
      </c>
      <c r="AN22" s="121">
        <f t="shared" si="7"/>
        <v>0</v>
      </c>
      <c r="AO22" s="121">
        <f t="shared" si="7"/>
        <v>0</v>
      </c>
      <c r="AP22" s="121">
        <f t="shared" si="7"/>
        <v>0</v>
      </c>
      <c r="AQ22" s="121">
        <f t="shared" si="7"/>
        <v>0</v>
      </c>
      <c r="AR22" s="122">
        <f t="shared" si="7"/>
        <v>0</v>
      </c>
      <c r="AS22" s="145">
        <f t="shared" si="8"/>
        <v>0</v>
      </c>
      <c r="AT22" s="121">
        <f t="shared" si="8"/>
        <v>0</v>
      </c>
      <c r="AU22" s="121">
        <f t="shared" si="8"/>
        <v>0</v>
      </c>
      <c r="AV22" s="121">
        <f t="shared" si="8"/>
        <v>0</v>
      </c>
      <c r="AW22" s="121">
        <f t="shared" si="8"/>
        <v>0</v>
      </c>
      <c r="AX22" s="121">
        <f t="shared" si="8"/>
        <v>0</v>
      </c>
      <c r="AY22" s="121">
        <f t="shared" si="8"/>
        <v>0</v>
      </c>
      <c r="AZ22" s="121">
        <f t="shared" si="8"/>
        <v>0</v>
      </c>
      <c r="BA22" s="121">
        <f t="shared" si="8"/>
        <v>0</v>
      </c>
      <c r="BB22" s="122">
        <f t="shared" si="8"/>
        <v>0</v>
      </c>
      <c r="BC22" s="145">
        <f t="shared" si="26"/>
        <v>0</v>
      </c>
      <c r="BD22" s="192">
        <f t="shared" si="19"/>
        <v>123.94</v>
      </c>
      <c r="BE22" s="192">
        <f t="shared" si="20"/>
        <v>0</v>
      </c>
      <c r="BF22" s="192">
        <f t="shared" si="21"/>
        <v>111.54600000000001</v>
      </c>
      <c r="BG22" s="192">
        <f t="shared" si="9"/>
        <v>0</v>
      </c>
      <c r="BH22" s="192">
        <f t="shared" si="22"/>
        <v>0</v>
      </c>
      <c r="BI22" s="122"/>
      <c r="BJ22" s="123"/>
      <c r="BL22" s="125">
        <f t="shared" si="10"/>
        <v>123.94</v>
      </c>
      <c r="BM22" s="125">
        <f t="shared" si="23"/>
        <v>0</v>
      </c>
    </row>
    <row r="23" spans="1:74" s="81" customFormat="1" ht="16.5" customHeight="1">
      <c r="A23" s="124" t="str">
        <f t="shared" si="11"/>
        <v>OK</v>
      </c>
      <c r="C23" s="748"/>
      <c r="D23" s="113"/>
      <c r="E23" s="114"/>
      <c r="F23" s="114">
        <f t="shared" si="12"/>
        <v>300</v>
      </c>
      <c r="G23" s="263" t="str">
        <f t="shared" si="12"/>
        <v>HD</v>
      </c>
      <c r="H23" s="115" t="str">
        <f t="shared" si="12"/>
        <v>K-9</v>
      </c>
      <c r="I23" s="117">
        <f t="shared" si="13"/>
        <v>992.23</v>
      </c>
      <c r="J23" s="264">
        <v>1160</v>
      </c>
      <c r="K23" s="267">
        <f t="shared" si="14"/>
        <v>167.76999999999998</v>
      </c>
      <c r="L23" s="118">
        <f>+ROUND(K23*SQRT((M23/100)^2+1),2)</f>
        <v>167.77</v>
      </c>
      <c r="M23" s="116">
        <v>0.12</v>
      </c>
      <c r="N23" s="113" t="str">
        <f t="shared" si="25"/>
        <v>AF</v>
      </c>
      <c r="O23" s="115" t="str">
        <f t="shared" si="24"/>
        <v>N</v>
      </c>
      <c r="P23" s="238" t="str">
        <f t="shared" si="3"/>
        <v>E</v>
      </c>
      <c r="Q23" s="238"/>
      <c r="R23" s="117">
        <f t="shared" si="16"/>
        <v>276.23</v>
      </c>
      <c r="S23" s="116">
        <v>276.83</v>
      </c>
      <c r="T23" s="117">
        <f t="shared" si="17"/>
        <v>274.62239</v>
      </c>
      <c r="U23" s="264">
        <f t="shared" si="18"/>
        <v>274.823714</v>
      </c>
      <c r="V23" s="117">
        <f t="shared" si="4"/>
        <v>1.6076100000000224</v>
      </c>
      <c r="W23" s="118">
        <f t="shared" si="4"/>
        <v>2.0062859999999887</v>
      </c>
      <c r="X23" s="189">
        <f t="shared" si="5"/>
        <v>1.81</v>
      </c>
      <c r="Y23" s="145">
        <f t="shared" si="6"/>
        <v>0</v>
      </c>
      <c r="Z23" s="121">
        <f t="shared" si="6"/>
        <v>0</v>
      </c>
      <c r="AA23" s="121">
        <f t="shared" si="6"/>
        <v>0</v>
      </c>
      <c r="AB23" s="121">
        <f t="shared" si="6"/>
        <v>0</v>
      </c>
      <c r="AC23" s="121">
        <f t="shared" si="6"/>
        <v>167.77</v>
      </c>
      <c r="AD23" s="121">
        <f t="shared" si="6"/>
        <v>0</v>
      </c>
      <c r="AE23" s="121">
        <f t="shared" si="6"/>
        <v>0</v>
      </c>
      <c r="AF23" s="121">
        <f t="shared" si="6"/>
        <v>0</v>
      </c>
      <c r="AG23" s="121">
        <f t="shared" si="6"/>
        <v>0</v>
      </c>
      <c r="AH23" s="122">
        <f t="shared" si="6"/>
        <v>0</v>
      </c>
      <c r="AI23" s="145">
        <f t="shared" si="7"/>
        <v>0</v>
      </c>
      <c r="AJ23" s="121">
        <f t="shared" si="7"/>
        <v>0</v>
      </c>
      <c r="AK23" s="121">
        <f t="shared" si="7"/>
        <v>0</v>
      </c>
      <c r="AL23" s="121">
        <f t="shared" si="7"/>
        <v>0</v>
      </c>
      <c r="AM23" s="121">
        <f t="shared" si="7"/>
        <v>0</v>
      </c>
      <c r="AN23" s="121">
        <f t="shared" si="7"/>
        <v>0</v>
      </c>
      <c r="AO23" s="121">
        <f t="shared" si="7"/>
        <v>0</v>
      </c>
      <c r="AP23" s="121">
        <f t="shared" si="7"/>
        <v>0</v>
      </c>
      <c r="AQ23" s="121">
        <f t="shared" si="7"/>
        <v>0</v>
      </c>
      <c r="AR23" s="122">
        <f t="shared" si="7"/>
        <v>0</v>
      </c>
      <c r="AS23" s="145">
        <f t="shared" si="8"/>
        <v>0</v>
      </c>
      <c r="AT23" s="121">
        <f t="shared" si="8"/>
        <v>0</v>
      </c>
      <c r="AU23" s="121">
        <f t="shared" si="8"/>
        <v>0</v>
      </c>
      <c r="AV23" s="121">
        <f t="shared" si="8"/>
        <v>0</v>
      </c>
      <c r="AW23" s="121">
        <f t="shared" si="8"/>
        <v>0</v>
      </c>
      <c r="AX23" s="121">
        <f t="shared" si="8"/>
        <v>0</v>
      </c>
      <c r="AY23" s="121">
        <f t="shared" si="8"/>
        <v>0</v>
      </c>
      <c r="AZ23" s="121">
        <f t="shared" si="8"/>
        <v>0</v>
      </c>
      <c r="BA23" s="121">
        <f t="shared" si="8"/>
        <v>0</v>
      </c>
      <c r="BB23" s="122">
        <f t="shared" si="8"/>
        <v>0</v>
      </c>
      <c r="BC23" s="145">
        <f t="shared" si="26"/>
        <v>0</v>
      </c>
      <c r="BD23" s="192">
        <f t="shared" si="19"/>
        <v>167.77</v>
      </c>
      <c r="BE23" s="192">
        <f t="shared" si="20"/>
        <v>0</v>
      </c>
      <c r="BF23" s="192">
        <f t="shared" si="21"/>
        <v>150.99300000000002</v>
      </c>
      <c r="BG23" s="192">
        <f t="shared" si="9"/>
        <v>0</v>
      </c>
      <c r="BH23" s="192">
        <f t="shared" si="22"/>
        <v>0</v>
      </c>
      <c r="BI23" s="122"/>
      <c r="BJ23" s="123"/>
      <c r="BL23" s="125">
        <f t="shared" si="10"/>
        <v>167.77</v>
      </c>
      <c r="BM23" s="125">
        <f t="shared" si="23"/>
        <v>0</v>
      </c>
    </row>
    <row r="24" spans="1:74" s="81" customFormat="1" ht="16.5" customHeight="1">
      <c r="A24" s="124" t="str">
        <f t="shared" si="11"/>
        <v>OK</v>
      </c>
      <c r="C24" s="748"/>
      <c r="D24" s="113"/>
      <c r="E24" s="114"/>
      <c r="F24" s="114">
        <f t="shared" si="12"/>
        <v>300</v>
      </c>
      <c r="G24" s="263" t="str">
        <f t="shared" si="12"/>
        <v>HD</v>
      </c>
      <c r="H24" s="115" t="str">
        <f t="shared" si="12"/>
        <v>K-9</v>
      </c>
      <c r="I24" s="117">
        <f t="shared" si="13"/>
        <v>1160</v>
      </c>
      <c r="J24" s="264">
        <v>1547.33</v>
      </c>
      <c r="K24" s="267">
        <f t="shared" si="14"/>
        <v>387.32999999999993</v>
      </c>
      <c r="L24" s="118">
        <f>+ROUND(K24*SQRT((M24/100)^2+1),2)</f>
        <v>387.41</v>
      </c>
      <c r="M24" s="116">
        <v>2.0099999999999998</v>
      </c>
      <c r="N24" s="113" t="str">
        <f t="shared" si="25"/>
        <v>AF</v>
      </c>
      <c r="O24" s="115" t="str">
        <f t="shared" si="24"/>
        <v>N</v>
      </c>
      <c r="P24" s="238" t="str">
        <f t="shared" si="3"/>
        <v>E</v>
      </c>
      <c r="Q24" s="238"/>
      <c r="R24" s="117">
        <f t="shared" si="16"/>
        <v>276.83</v>
      </c>
      <c r="S24" s="116">
        <v>284.16000000000003</v>
      </c>
      <c r="T24" s="117">
        <f t="shared" si="17"/>
        <v>274.823714</v>
      </c>
      <c r="U24" s="264">
        <v>281.83999999999997</v>
      </c>
      <c r="V24" s="117">
        <f t="shared" si="4"/>
        <v>2.0062859999999887</v>
      </c>
      <c r="W24" s="118">
        <f t="shared" si="4"/>
        <v>2.32000000000005</v>
      </c>
      <c r="X24" s="189">
        <f t="shared" si="5"/>
        <v>2.16</v>
      </c>
      <c r="Y24" s="145">
        <f t="shared" si="6"/>
        <v>0</v>
      </c>
      <c r="Z24" s="121">
        <f t="shared" si="6"/>
        <v>0</v>
      </c>
      <c r="AA24" s="121">
        <f t="shared" si="6"/>
        <v>0</v>
      </c>
      <c r="AB24" s="121">
        <f t="shared" si="6"/>
        <v>0</v>
      </c>
      <c r="AC24" s="121">
        <f t="shared" si="6"/>
        <v>0</v>
      </c>
      <c r="AD24" s="121">
        <f t="shared" si="6"/>
        <v>387.41</v>
      </c>
      <c r="AE24" s="121">
        <f t="shared" si="6"/>
        <v>0</v>
      </c>
      <c r="AF24" s="121">
        <f t="shared" si="6"/>
        <v>0</v>
      </c>
      <c r="AG24" s="121">
        <f t="shared" si="6"/>
        <v>0</v>
      </c>
      <c r="AH24" s="122">
        <f t="shared" si="6"/>
        <v>0</v>
      </c>
      <c r="AI24" s="145">
        <f t="shared" si="7"/>
        <v>0</v>
      </c>
      <c r="AJ24" s="121">
        <f t="shared" si="7"/>
        <v>0</v>
      </c>
      <c r="AK24" s="121">
        <f t="shared" si="7"/>
        <v>0</v>
      </c>
      <c r="AL24" s="121">
        <f t="shared" si="7"/>
        <v>0</v>
      </c>
      <c r="AM24" s="121">
        <f t="shared" si="7"/>
        <v>0</v>
      </c>
      <c r="AN24" s="121">
        <f t="shared" si="7"/>
        <v>0</v>
      </c>
      <c r="AO24" s="121">
        <f t="shared" si="7"/>
        <v>0</v>
      </c>
      <c r="AP24" s="121">
        <f t="shared" si="7"/>
        <v>0</v>
      </c>
      <c r="AQ24" s="121">
        <f t="shared" si="7"/>
        <v>0</v>
      </c>
      <c r="AR24" s="122">
        <f t="shared" si="7"/>
        <v>0</v>
      </c>
      <c r="AS24" s="145">
        <f t="shared" si="8"/>
        <v>0</v>
      </c>
      <c r="AT24" s="121">
        <f t="shared" si="8"/>
        <v>0</v>
      </c>
      <c r="AU24" s="121">
        <f t="shared" si="8"/>
        <v>0</v>
      </c>
      <c r="AV24" s="121">
        <f t="shared" si="8"/>
        <v>0</v>
      </c>
      <c r="AW24" s="121">
        <f t="shared" si="8"/>
        <v>0</v>
      </c>
      <c r="AX24" s="121">
        <f t="shared" si="8"/>
        <v>0</v>
      </c>
      <c r="AY24" s="121">
        <f t="shared" si="8"/>
        <v>0</v>
      </c>
      <c r="AZ24" s="121">
        <f t="shared" si="8"/>
        <v>0</v>
      </c>
      <c r="BA24" s="121">
        <f t="shared" si="8"/>
        <v>0</v>
      </c>
      <c r="BB24" s="122">
        <f t="shared" si="8"/>
        <v>0</v>
      </c>
      <c r="BC24" s="145">
        <f t="shared" si="26"/>
        <v>0</v>
      </c>
      <c r="BD24" s="192">
        <f t="shared" si="19"/>
        <v>387.41</v>
      </c>
      <c r="BE24" s="192">
        <f t="shared" si="20"/>
        <v>0</v>
      </c>
      <c r="BF24" s="192">
        <f t="shared" si="21"/>
        <v>348.66900000000004</v>
      </c>
      <c r="BG24" s="192">
        <f t="shared" si="9"/>
        <v>0</v>
      </c>
      <c r="BH24" s="192">
        <f t="shared" si="22"/>
        <v>0</v>
      </c>
      <c r="BI24" s="122"/>
      <c r="BJ24" s="123"/>
      <c r="BL24" s="125">
        <f t="shared" si="10"/>
        <v>387.41</v>
      </c>
      <c r="BM24" s="125">
        <f t="shared" si="23"/>
        <v>0</v>
      </c>
    </row>
    <row r="25" spans="1:74" s="81" customFormat="1" ht="16.5" customHeight="1">
      <c r="A25" s="124" t="e">
        <f t="shared" si="11"/>
        <v>#REF!</v>
      </c>
      <c r="C25" s="748"/>
      <c r="D25" s="113"/>
      <c r="E25" s="114"/>
      <c r="F25" s="179"/>
      <c r="G25" s="179"/>
      <c r="H25" s="180"/>
      <c r="I25" s="181"/>
      <c r="J25" s="182"/>
      <c r="K25" s="203"/>
      <c r="L25" s="204">
        <f>SUM(L14:L24)</f>
        <v>1549.9</v>
      </c>
      <c r="M25" s="184"/>
      <c r="N25" s="204"/>
      <c r="O25" s="180"/>
      <c r="P25" s="239"/>
      <c r="Q25" s="239"/>
      <c r="R25" s="181"/>
      <c r="S25" s="182"/>
      <c r="T25" s="181"/>
      <c r="U25" s="182"/>
      <c r="V25" s="181"/>
      <c r="W25" s="183"/>
      <c r="X25" s="190"/>
      <c r="Y25" s="220">
        <f>SUM(Y14:Y24)</f>
        <v>0</v>
      </c>
      <c r="Z25" s="221">
        <f>SUM(Z14:Z24)</f>
        <v>0</v>
      </c>
      <c r="AA25" s="221">
        <f t="shared" ref="AA25:AG25" si="27">SUM(AA14:AA24)</f>
        <v>24.41</v>
      </c>
      <c r="AB25" s="221">
        <f t="shared" si="27"/>
        <v>388.61</v>
      </c>
      <c r="AC25" s="221">
        <f t="shared" si="27"/>
        <v>530.61</v>
      </c>
      <c r="AD25" s="221">
        <f t="shared" si="27"/>
        <v>606.27</v>
      </c>
      <c r="AE25" s="221">
        <f t="shared" si="27"/>
        <v>0</v>
      </c>
      <c r="AF25" s="221">
        <f t="shared" si="27"/>
        <v>0</v>
      </c>
      <c r="AG25" s="221">
        <f t="shared" si="27"/>
        <v>0</v>
      </c>
      <c r="AH25" s="222">
        <f>SUM(AH14:AH24)</f>
        <v>0</v>
      </c>
      <c r="AI25" s="226" t="e">
        <f>SUM(#REF!)</f>
        <v>#REF!</v>
      </c>
      <c r="AJ25" s="227" t="e">
        <f>SUM(#REF!)</f>
        <v>#REF!</v>
      </c>
      <c r="AK25" s="227" t="e">
        <f>SUM(#REF!)</f>
        <v>#REF!</v>
      </c>
      <c r="AL25" s="227" t="e">
        <f>SUM(#REF!)</f>
        <v>#REF!</v>
      </c>
      <c r="AM25" s="227" t="e">
        <f>SUM(#REF!)</f>
        <v>#REF!</v>
      </c>
      <c r="AN25" s="227" t="e">
        <f>SUM(#REF!)</f>
        <v>#REF!</v>
      </c>
      <c r="AO25" s="227" t="e">
        <f>SUM(#REF!)</f>
        <v>#REF!</v>
      </c>
      <c r="AP25" s="227" t="e">
        <f>SUM(#REF!)</f>
        <v>#REF!</v>
      </c>
      <c r="AQ25" s="227" t="e">
        <f>SUM(#REF!)</f>
        <v>#REF!</v>
      </c>
      <c r="AR25" s="228" t="e">
        <f>SUM(#REF!)</f>
        <v>#REF!</v>
      </c>
      <c r="AS25" s="271">
        <f>SUM(AS14:AS24)</f>
        <v>0</v>
      </c>
      <c r="AT25" s="272">
        <f>SUM(AT14:AT24)</f>
        <v>0</v>
      </c>
      <c r="AU25" s="272">
        <f t="shared" ref="AU25" si="28">SUM(AU14:AU24)</f>
        <v>0</v>
      </c>
      <c r="AV25" s="272">
        <f t="shared" ref="AV25" si="29">SUM(AV14:AV24)</f>
        <v>0</v>
      </c>
      <c r="AW25" s="272">
        <f>SUM(AW14:AW24)</f>
        <v>0</v>
      </c>
      <c r="AX25" s="272">
        <f t="shared" ref="AX25" si="30">SUM(AX14:AX24)</f>
        <v>0</v>
      </c>
      <c r="AY25" s="272">
        <f t="shared" ref="AY25" si="31">SUM(AY14:AY24)</f>
        <v>0</v>
      </c>
      <c r="AZ25" s="272">
        <f t="shared" ref="AZ25" si="32">SUM(AZ14:AZ24)</f>
        <v>0</v>
      </c>
      <c r="BA25" s="272">
        <f t="shared" ref="BA25" si="33">SUM(BA14:BA24)</f>
        <v>0</v>
      </c>
      <c r="BB25" s="273">
        <f>SUM(BB14:BB24)</f>
        <v>0</v>
      </c>
      <c r="BC25" s="223">
        <f>SUM(BC14:BC24)</f>
        <v>217.56</v>
      </c>
      <c r="BD25" s="224">
        <f t="shared" ref="BD25:BH25" si="34">SUM(BD14:BD24)</f>
        <v>1136.8800000000001</v>
      </c>
      <c r="BE25" s="224">
        <f t="shared" si="34"/>
        <v>0</v>
      </c>
      <c r="BF25" s="224">
        <f t="shared" si="34"/>
        <v>1190.0880000000002</v>
      </c>
      <c r="BG25" s="224">
        <f t="shared" si="34"/>
        <v>9.0179999999999989</v>
      </c>
      <c r="BH25" s="224">
        <f t="shared" si="34"/>
        <v>0</v>
      </c>
      <c r="BI25" s="225">
        <f>SUM(BI14:BI24)</f>
        <v>0</v>
      </c>
      <c r="BJ25" s="123"/>
      <c r="BL25" s="125"/>
      <c r="BM25" s="125"/>
    </row>
    <row r="26" spans="1:74" s="81" customFormat="1" ht="16.5" customHeight="1">
      <c r="A26" s="124" t="str">
        <f t="shared" si="11"/>
        <v>OK</v>
      </c>
      <c r="C26" s="748"/>
      <c r="D26" s="113"/>
      <c r="E26" s="114"/>
      <c r="F26" s="114">
        <v>250</v>
      </c>
      <c r="G26" s="263" t="str">
        <f>+G24</f>
        <v>HD</v>
      </c>
      <c r="H26" s="115" t="str">
        <f>+H24</f>
        <v>K-9</v>
      </c>
      <c r="I26" s="117">
        <f>J24</f>
        <v>1547.33</v>
      </c>
      <c r="J26" s="264">
        <v>1646.78</v>
      </c>
      <c r="K26" s="267">
        <f t="shared" si="14"/>
        <v>99.450000000000045</v>
      </c>
      <c r="L26" s="118">
        <f t="shared" si="15"/>
        <v>99.47</v>
      </c>
      <c r="M26" s="116">
        <v>2.0099999999999998</v>
      </c>
      <c r="N26" s="113" t="str">
        <f>+N24</f>
        <v>AF</v>
      </c>
      <c r="O26" s="115" t="str">
        <f>+O24</f>
        <v>N</v>
      </c>
      <c r="P26" s="238" t="str">
        <f t="shared" si="3"/>
        <v>E</v>
      </c>
      <c r="Q26" s="238"/>
      <c r="R26" s="117">
        <f>S24</f>
        <v>284.16000000000003</v>
      </c>
      <c r="S26" s="116">
        <v>286.27</v>
      </c>
      <c r="T26" s="117">
        <f>U24</f>
        <v>281.83999999999997</v>
      </c>
      <c r="U26" s="264">
        <v>284.61</v>
      </c>
      <c r="V26" s="117">
        <f t="shared" ref="V26:V39" si="35">IF((R26-T26)&lt;0,0,R26-T26)</f>
        <v>2.32000000000005</v>
      </c>
      <c r="W26" s="118">
        <f t="shared" ref="W26:W39" si="36">IF((S26-U26)&lt;0,0,S26-U26)</f>
        <v>1.6599999999999682</v>
      </c>
      <c r="X26" s="189">
        <f t="shared" si="5"/>
        <v>1.99</v>
      </c>
      <c r="Y26" s="145">
        <f t="shared" si="6"/>
        <v>0</v>
      </c>
      <c r="Z26" s="121">
        <f t="shared" si="6"/>
        <v>0</v>
      </c>
      <c r="AA26" s="121">
        <f t="shared" si="6"/>
        <v>0</v>
      </c>
      <c r="AB26" s="121">
        <f t="shared" si="6"/>
        <v>0</v>
      </c>
      <c r="AC26" s="121">
        <f t="shared" si="6"/>
        <v>99.47</v>
      </c>
      <c r="AD26" s="121">
        <f t="shared" si="6"/>
        <v>0</v>
      </c>
      <c r="AE26" s="121">
        <f t="shared" si="6"/>
        <v>0</v>
      </c>
      <c r="AF26" s="121">
        <f t="shared" si="6"/>
        <v>0</v>
      </c>
      <c r="AG26" s="121">
        <f t="shared" si="6"/>
        <v>0</v>
      </c>
      <c r="AH26" s="122">
        <f t="shared" si="6"/>
        <v>0</v>
      </c>
      <c r="AI26" s="145">
        <f t="shared" si="7"/>
        <v>0</v>
      </c>
      <c r="AJ26" s="121">
        <f t="shared" si="7"/>
        <v>0</v>
      </c>
      <c r="AK26" s="121">
        <f t="shared" si="7"/>
        <v>0</v>
      </c>
      <c r="AL26" s="121">
        <f t="shared" si="7"/>
        <v>0</v>
      </c>
      <c r="AM26" s="121">
        <f t="shared" si="7"/>
        <v>0</v>
      </c>
      <c r="AN26" s="121">
        <f t="shared" si="7"/>
        <v>0</v>
      </c>
      <c r="AO26" s="121">
        <f t="shared" si="7"/>
        <v>0</v>
      </c>
      <c r="AP26" s="121">
        <f t="shared" si="7"/>
        <v>0</v>
      </c>
      <c r="AQ26" s="121">
        <f t="shared" si="7"/>
        <v>0</v>
      </c>
      <c r="AR26" s="122">
        <f t="shared" si="7"/>
        <v>0</v>
      </c>
      <c r="AS26" s="145">
        <f t="shared" si="8"/>
        <v>0</v>
      </c>
      <c r="AT26" s="121">
        <f t="shared" si="8"/>
        <v>0</v>
      </c>
      <c r="AU26" s="121">
        <f t="shared" si="8"/>
        <v>0</v>
      </c>
      <c r="AV26" s="121">
        <f t="shared" si="8"/>
        <v>0</v>
      </c>
      <c r="AW26" s="121">
        <f t="shared" si="8"/>
        <v>0</v>
      </c>
      <c r="AX26" s="121">
        <f t="shared" si="8"/>
        <v>0</v>
      </c>
      <c r="AY26" s="121">
        <f t="shared" si="8"/>
        <v>0</v>
      </c>
      <c r="AZ26" s="121">
        <f t="shared" si="8"/>
        <v>0</v>
      </c>
      <c r="BA26" s="121">
        <f t="shared" si="8"/>
        <v>0</v>
      </c>
      <c r="BB26" s="122">
        <f t="shared" si="8"/>
        <v>0</v>
      </c>
      <c r="BC26" s="145">
        <f t="shared" si="26"/>
        <v>0</v>
      </c>
      <c r="BD26" s="192">
        <f t="shared" si="19"/>
        <v>99.47</v>
      </c>
      <c r="BE26" s="192">
        <f t="shared" si="20"/>
        <v>0</v>
      </c>
      <c r="BF26" s="192">
        <f t="shared" si="21"/>
        <v>89.522999999999996</v>
      </c>
      <c r="BG26" s="192">
        <f t="shared" si="9"/>
        <v>0</v>
      </c>
      <c r="BH26" s="192">
        <f t="shared" si="22"/>
        <v>0</v>
      </c>
      <c r="BI26" s="122"/>
      <c r="BJ26" s="123"/>
      <c r="BL26" s="125">
        <f t="shared" si="10"/>
        <v>99.47</v>
      </c>
      <c r="BM26" s="125">
        <f t="shared" si="23"/>
        <v>0</v>
      </c>
    </row>
    <row r="27" spans="1:74" s="81" customFormat="1" ht="16.5" customHeight="1">
      <c r="A27" s="124" t="str">
        <f t="shared" si="11"/>
        <v>OK</v>
      </c>
      <c r="C27" s="748"/>
      <c r="D27" s="113"/>
      <c r="E27" s="114"/>
      <c r="F27" s="114">
        <f t="shared" si="12"/>
        <v>250</v>
      </c>
      <c r="G27" s="263" t="str">
        <f t="shared" si="12"/>
        <v>HD</v>
      </c>
      <c r="H27" s="115" t="str">
        <f t="shared" si="12"/>
        <v>K-9</v>
      </c>
      <c r="I27" s="117">
        <f t="shared" si="13"/>
        <v>1646.78</v>
      </c>
      <c r="J27" s="264">
        <v>1679.84</v>
      </c>
      <c r="K27" s="267">
        <f t="shared" si="14"/>
        <v>33.059999999999945</v>
      </c>
      <c r="L27" s="118">
        <f t="shared" si="15"/>
        <v>33.06</v>
      </c>
      <c r="M27" s="116">
        <v>0.04</v>
      </c>
      <c r="N27" s="113" t="str">
        <f t="shared" si="25"/>
        <v>AF</v>
      </c>
      <c r="O27" s="115" t="str">
        <f t="shared" si="24"/>
        <v>N</v>
      </c>
      <c r="P27" s="238" t="str">
        <f t="shared" si="3"/>
        <v>E</v>
      </c>
      <c r="Q27" s="238"/>
      <c r="R27" s="117">
        <f t="shared" si="16"/>
        <v>286.27</v>
      </c>
      <c r="S27" s="116">
        <v>286.95999999999998</v>
      </c>
      <c r="T27" s="117">
        <f t="shared" si="17"/>
        <v>284.61</v>
      </c>
      <c r="U27" s="264">
        <f t="shared" si="18"/>
        <v>284.62322399999999</v>
      </c>
      <c r="V27" s="117">
        <f t="shared" si="35"/>
        <v>1.6599999999999682</v>
      </c>
      <c r="W27" s="118">
        <f t="shared" si="36"/>
        <v>2.3367759999999862</v>
      </c>
      <c r="X27" s="189">
        <f t="shared" si="5"/>
        <v>2</v>
      </c>
      <c r="Y27" s="145">
        <f t="shared" si="6"/>
        <v>0</v>
      </c>
      <c r="Z27" s="121">
        <f t="shared" si="6"/>
        <v>0</v>
      </c>
      <c r="AA27" s="121">
        <f t="shared" si="6"/>
        <v>0</v>
      </c>
      <c r="AB27" s="121">
        <f t="shared" si="6"/>
        <v>0</v>
      </c>
      <c r="AC27" s="121">
        <f t="shared" si="6"/>
        <v>33.06</v>
      </c>
      <c r="AD27" s="121">
        <f t="shared" si="6"/>
        <v>0</v>
      </c>
      <c r="AE27" s="121">
        <f t="shared" si="6"/>
        <v>0</v>
      </c>
      <c r="AF27" s="121">
        <f t="shared" si="6"/>
        <v>0</v>
      </c>
      <c r="AG27" s="121">
        <f t="shared" si="6"/>
        <v>0</v>
      </c>
      <c r="AH27" s="122">
        <f t="shared" si="6"/>
        <v>0</v>
      </c>
      <c r="AI27" s="145">
        <f t="shared" si="7"/>
        <v>0</v>
      </c>
      <c r="AJ27" s="121">
        <f t="shared" si="7"/>
        <v>0</v>
      </c>
      <c r="AK27" s="121">
        <f t="shared" si="7"/>
        <v>0</v>
      </c>
      <c r="AL27" s="121">
        <f t="shared" si="7"/>
        <v>0</v>
      </c>
      <c r="AM27" s="121">
        <f t="shared" si="7"/>
        <v>0</v>
      </c>
      <c r="AN27" s="121">
        <f t="shared" si="7"/>
        <v>0</v>
      </c>
      <c r="AO27" s="121">
        <f t="shared" si="7"/>
        <v>0</v>
      </c>
      <c r="AP27" s="121">
        <f t="shared" si="7"/>
        <v>0</v>
      </c>
      <c r="AQ27" s="121">
        <f t="shared" si="7"/>
        <v>0</v>
      </c>
      <c r="AR27" s="122">
        <f t="shared" si="7"/>
        <v>0</v>
      </c>
      <c r="AS27" s="145">
        <f t="shared" si="8"/>
        <v>0</v>
      </c>
      <c r="AT27" s="121">
        <f t="shared" si="8"/>
        <v>0</v>
      </c>
      <c r="AU27" s="121">
        <f t="shared" si="8"/>
        <v>0</v>
      </c>
      <c r="AV27" s="121">
        <f t="shared" si="8"/>
        <v>0</v>
      </c>
      <c r="AW27" s="121">
        <f t="shared" si="8"/>
        <v>0</v>
      </c>
      <c r="AX27" s="121">
        <f t="shared" si="8"/>
        <v>0</v>
      </c>
      <c r="AY27" s="121">
        <f t="shared" si="8"/>
        <v>0</v>
      </c>
      <c r="AZ27" s="121">
        <f t="shared" si="8"/>
        <v>0</v>
      </c>
      <c r="BA27" s="121">
        <f t="shared" si="8"/>
        <v>0</v>
      </c>
      <c r="BB27" s="122">
        <f t="shared" si="8"/>
        <v>0</v>
      </c>
      <c r="BC27" s="145">
        <f t="shared" si="26"/>
        <v>0</v>
      </c>
      <c r="BD27" s="192">
        <f t="shared" si="19"/>
        <v>33.06</v>
      </c>
      <c r="BE27" s="192">
        <f t="shared" si="20"/>
        <v>0</v>
      </c>
      <c r="BF27" s="192">
        <f t="shared" si="21"/>
        <v>29.754000000000001</v>
      </c>
      <c r="BG27" s="192">
        <f t="shared" si="9"/>
        <v>0</v>
      </c>
      <c r="BH27" s="192">
        <f t="shared" si="22"/>
        <v>0</v>
      </c>
      <c r="BI27" s="122"/>
      <c r="BJ27" s="123"/>
      <c r="BL27" s="125">
        <f t="shared" si="10"/>
        <v>33.06</v>
      </c>
      <c r="BM27" s="125">
        <f t="shared" si="23"/>
        <v>0</v>
      </c>
    </row>
    <row r="28" spans="1:74" s="81" customFormat="1" ht="16.5" customHeight="1">
      <c r="A28" s="124" t="str">
        <f t="shared" si="11"/>
        <v>OK</v>
      </c>
      <c r="C28" s="748"/>
      <c r="D28" s="113"/>
      <c r="E28" s="114"/>
      <c r="F28" s="114">
        <f t="shared" si="12"/>
        <v>250</v>
      </c>
      <c r="G28" s="263" t="str">
        <f t="shared" si="12"/>
        <v>HD</v>
      </c>
      <c r="H28" s="115" t="str">
        <f t="shared" si="12"/>
        <v>K-9</v>
      </c>
      <c r="I28" s="117">
        <f t="shared" si="13"/>
        <v>1679.84</v>
      </c>
      <c r="J28" s="264">
        <v>1699.86</v>
      </c>
      <c r="K28" s="267">
        <f t="shared" si="14"/>
        <v>20.019999999999982</v>
      </c>
      <c r="L28" s="118">
        <f t="shared" si="15"/>
        <v>20.02</v>
      </c>
      <c r="M28" s="116">
        <v>0.04</v>
      </c>
      <c r="N28" s="113" t="s">
        <v>219</v>
      </c>
      <c r="O28" s="115" t="str">
        <f t="shared" si="24"/>
        <v>N</v>
      </c>
      <c r="P28" s="238" t="str">
        <f t="shared" si="3"/>
        <v>E</v>
      </c>
      <c r="Q28" s="238"/>
      <c r="R28" s="117">
        <f t="shared" si="16"/>
        <v>286.95999999999998</v>
      </c>
      <c r="S28" s="116">
        <v>287.25</v>
      </c>
      <c r="T28" s="117">
        <f t="shared" si="17"/>
        <v>284.62322399999999</v>
      </c>
      <c r="U28" s="264">
        <f t="shared" si="18"/>
        <v>284.63123200000001</v>
      </c>
      <c r="V28" s="117">
        <f t="shared" si="35"/>
        <v>2.3367759999999862</v>
      </c>
      <c r="W28" s="118">
        <f t="shared" si="36"/>
        <v>2.6187679999999887</v>
      </c>
      <c r="X28" s="189">
        <f t="shared" si="5"/>
        <v>2.48</v>
      </c>
      <c r="Y28" s="145">
        <f t="shared" si="6"/>
        <v>0</v>
      </c>
      <c r="Z28" s="121">
        <f t="shared" si="6"/>
        <v>0</v>
      </c>
      <c r="AA28" s="121">
        <f t="shared" si="6"/>
        <v>0</v>
      </c>
      <c r="AB28" s="121">
        <f t="shared" si="6"/>
        <v>0</v>
      </c>
      <c r="AC28" s="121">
        <f t="shared" si="6"/>
        <v>0</v>
      </c>
      <c r="AD28" s="121">
        <f t="shared" si="6"/>
        <v>20.02</v>
      </c>
      <c r="AE28" s="121">
        <f t="shared" si="6"/>
        <v>0</v>
      </c>
      <c r="AF28" s="121">
        <f t="shared" si="6"/>
        <v>0</v>
      </c>
      <c r="AG28" s="121">
        <f t="shared" si="6"/>
        <v>0</v>
      </c>
      <c r="AH28" s="122">
        <f t="shared" si="6"/>
        <v>0</v>
      </c>
      <c r="AI28" s="145">
        <f t="shared" si="7"/>
        <v>0</v>
      </c>
      <c r="AJ28" s="121">
        <f t="shared" si="7"/>
        <v>0</v>
      </c>
      <c r="AK28" s="121">
        <f t="shared" si="7"/>
        <v>0</v>
      </c>
      <c r="AL28" s="121">
        <f t="shared" si="7"/>
        <v>0</v>
      </c>
      <c r="AM28" s="121">
        <f t="shared" si="7"/>
        <v>0</v>
      </c>
      <c r="AN28" s="121">
        <f t="shared" si="7"/>
        <v>0</v>
      </c>
      <c r="AO28" s="121">
        <f t="shared" si="7"/>
        <v>0</v>
      </c>
      <c r="AP28" s="121">
        <f t="shared" si="7"/>
        <v>0</v>
      </c>
      <c r="AQ28" s="121">
        <f t="shared" si="7"/>
        <v>0</v>
      </c>
      <c r="AR28" s="122">
        <f t="shared" si="7"/>
        <v>0</v>
      </c>
      <c r="AS28" s="145">
        <f t="shared" si="8"/>
        <v>0</v>
      </c>
      <c r="AT28" s="121">
        <f t="shared" si="8"/>
        <v>0</v>
      </c>
      <c r="AU28" s="121">
        <f t="shared" si="8"/>
        <v>0</v>
      </c>
      <c r="AV28" s="121">
        <f t="shared" si="8"/>
        <v>0</v>
      </c>
      <c r="AW28" s="121">
        <f t="shared" si="8"/>
        <v>0</v>
      </c>
      <c r="AX28" s="121">
        <f t="shared" si="8"/>
        <v>0</v>
      </c>
      <c r="AY28" s="121">
        <f t="shared" si="8"/>
        <v>0</v>
      </c>
      <c r="AZ28" s="121">
        <f t="shared" si="8"/>
        <v>0</v>
      </c>
      <c r="BA28" s="121">
        <f t="shared" si="8"/>
        <v>0</v>
      </c>
      <c r="BB28" s="122">
        <f t="shared" si="8"/>
        <v>0</v>
      </c>
      <c r="BC28" s="145">
        <f t="shared" si="26"/>
        <v>0</v>
      </c>
      <c r="BD28" s="192">
        <f t="shared" si="19"/>
        <v>20.02</v>
      </c>
      <c r="BE28" s="192">
        <f t="shared" si="20"/>
        <v>0</v>
      </c>
      <c r="BF28" s="302">
        <f>+IF($N28=BF$12,$L28*(MAX($F28/1000+0.6,0.9)),0)</f>
        <v>0</v>
      </c>
      <c r="BG28" s="192">
        <f t="shared" si="9"/>
        <v>0</v>
      </c>
      <c r="BH28" s="192">
        <f t="shared" si="22"/>
        <v>39.039000000000001</v>
      </c>
      <c r="BI28" s="122"/>
      <c r="BJ28" s="123"/>
      <c r="BL28" s="125">
        <f t="shared" si="10"/>
        <v>0</v>
      </c>
      <c r="BM28" s="125">
        <f t="shared" si="23"/>
        <v>0</v>
      </c>
    </row>
    <row r="29" spans="1:74" s="81" customFormat="1" ht="16.5" customHeight="1">
      <c r="A29" s="124" t="str">
        <f t="shared" si="11"/>
        <v>OK</v>
      </c>
      <c r="C29" s="748"/>
      <c r="D29" s="113"/>
      <c r="E29" s="114"/>
      <c r="F29" s="114">
        <f t="shared" si="12"/>
        <v>250</v>
      </c>
      <c r="G29" s="263" t="str">
        <f t="shared" si="12"/>
        <v>HD</v>
      </c>
      <c r="H29" s="115" t="str">
        <f t="shared" si="12"/>
        <v>K-9</v>
      </c>
      <c r="I29" s="117">
        <f t="shared" si="13"/>
        <v>1699.86</v>
      </c>
      <c r="J29" s="264">
        <v>1721.69</v>
      </c>
      <c r="K29" s="267">
        <f t="shared" si="14"/>
        <v>21.830000000000155</v>
      </c>
      <c r="L29" s="118">
        <f t="shared" si="15"/>
        <v>21.83</v>
      </c>
      <c r="M29" s="116">
        <v>0.04</v>
      </c>
      <c r="N29" s="113" t="s">
        <v>218</v>
      </c>
      <c r="O29" s="115" t="str">
        <f t="shared" si="24"/>
        <v>N</v>
      </c>
      <c r="P29" s="238" t="str">
        <f t="shared" si="3"/>
        <v>E</v>
      </c>
      <c r="Q29" s="238"/>
      <c r="R29" s="117">
        <f t="shared" si="16"/>
        <v>287.25</v>
      </c>
      <c r="S29" s="116">
        <v>287.42</v>
      </c>
      <c r="T29" s="117">
        <f t="shared" si="17"/>
        <v>284.63123200000001</v>
      </c>
      <c r="U29" s="264">
        <v>284.58</v>
      </c>
      <c r="V29" s="117">
        <f t="shared" si="35"/>
        <v>2.6187679999999887</v>
      </c>
      <c r="W29" s="118">
        <f t="shared" si="36"/>
        <v>2.8400000000000318</v>
      </c>
      <c r="X29" s="189">
        <f t="shared" si="5"/>
        <v>2.73</v>
      </c>
      <c r="Y29" s="145">
        <f t="shared" si="6"/>
        <v>0</v>
      </c>
      <c r="Z29" s="121">
        <f t="shared" si="6"/>
        <v>0</v>
      </c>
      <c r="AA29" s="121">
        <f t="shared" si="6"/>
        <v>0</v>
      </c>
      <c r="AB29" s="121">
        <f t="shared" si="6"/>
        <v>0</v>
      </c>
      <c r="AC29" s="121">
        <f t="shared" si="6"/>
        <v>0</v>
      </c>
      <c r="AD29" s="121">
        <f t="shared" si="6"/>
        <v>0</v>
      </c>
      <c r="AE29" s="121">
        <f t="shared" si="6"/>
        <v>21.83</v>
      </c>
      <c r="AF29" s="121">
        <f t="shared" si="6"/>
        <v>0</v>
      </c>
      <c r="AG29" s="121">
        <f t="shared" si="6"/>
        <v>0</v>
      </c>
      <c r="AH29" s="122">
        <f t="shared" si="6"/>
        <v>0</v>
      </c>
      <c r="AI29" s="145">
        <f t="shared" si="7"/>
        <v>0</v>
      </c>
      <c r="AJ29" s="121">
        <f t="shared" si="7"/>
        <v>0</v>
      </c>
      <c r="AK29" s="121">
        <f t="shared" si="7"/>
        <v>0</v>
      </c>
      <c r="AL29" s="121">
        <f t="shared" si="7"/>
        <v>0</v>
      </c>
      <c r="AM29" s="121">
        <f t="shared" si="7"/>
        <v>0</v>
      </c>
      <c r="AN29" s="121">
        <f t="shared" si="7"/>
        <v>0</v>
      </c>
      <c r="AO29" s="121">
        <f t="shared" si="7"/>
        <v>0</v>
      </c>
      <c r="AP29" s="121">
        <f t="shared" si="7"/>
        <v>0</v>
      </c>
      <c r="AQ29" s="121">
        <f t="shared" si="7"/>
        <v>0</v>
      </c>
      <c r="AR29" s="122">
        <f t="shared" si="7"/>
        <v>0</v>
      </c>
      <c r="AS29" s="145">
        <f t="shared" si="8"/>
        <v>0</v>
      </c>
      <c r="AT29" s="121">
        <f t="shared" si="8"/>
        <v>0</v>
      </c>
      <c r="AU29" s="121">
        <f t="shared" si="8"/>
        <v>0</v>
      </c>
      <c r="AV29" s="121">
        <f t="shared" si="8"/>
        <v>0</v>
      </c>
      <c r="AW29" s="121">
        <f t="shared" si="8"/>
        <v>0</v>
      </c>
      <c r="AX29" s="121">
        <f t="shared" si="8"/>
        <v>0</v>
      </c>
      <c r="AY29" s="121">
        <f t="shared" si="8"/>
        <v>0</v>
      </c>
      <c r="AZ29" s="121">
        <f t="shared" si="8"/>
        <v>0</v>
      </c>
      <c r="BA29" s="121">
        <f t="shared" si="8"/>
        <v>0</v>
      </c>
      <c r="BB29" s="122">
        <f t="shared" si="8"/>
        <v>0</v>
      </c>
      <c r="BC29" s="145">
        <f t="shared" si="26"/>
        <v>0</v>
      </c>
      <c r="BD29" s="192">
        <f t="shared" si="19"/>
        <v>21.83</v>
      </c>
      <c r="BE29" s="192">
        <f t="shared" si="20"/>
        <v>0</v>
      </c>
      <c r="BF29" s="302">
        <f t="shared" ref="BF29:BF39" si="37">+IF($N29=BF$12,$L29*(MAX($F29/1000+0.6,0.9)),0)</f>
        <v>19.646999999999998</v>
      </c>
      <c r="BG29" s="192">
        <f t="shared" si="9"/>
        <v>0</v>
      </c>
      <c r="BH29" s="192">
        <f t="shared" si="22"/>
        <v>0</v>
      </c>
      <c r="BI29" s="122"/>
      <c r="BJ29" s="123"/>
      <c r="BL29" s="125">
        <f t="shared" si="10"/>
        <v>21.83</v>
      </c>
      <c r="BM29" s="125">
        <f t="shared" si="23"/>
        <v>0</v>
      </c>
    </row>
    <row r="30" spans="1:74" s="81" customFormat="1" ht="16.5" customHeight="1">
      <c r="A30" s="124" t="str">
        <f t="shared" si="11"/>
        <v>OK</v>
      </c>
      <c r="C30" s="748"/>
      <c r="D30" s="113"/>
      <c r="E30" s="114"/>
      <c r="F30" s="114">
        <f t="shared" si="12"/>
        <v>250</v>
      </c>
      <c r="G30" s="263" t="str">
        <f t="shared" si="12"/>
        <v>HD</v>
      </c>
      <c r="H30" s="115" t="str">
        <f t="shared" si="12"/>
        <v>K-9</v>
      </c>
      <c r="I30" s="117">
        <f t="shared" si="13"/>
        <v>1721.69</v>
      </c>
      <c r="J30" s="264">
        <v>1740</v>
      </c>
      <c r="K30" s="267">
        <f t="shared" si="14"/>
        <v>18.309999999999945</v>
      </c>
      <c r="L30" s="118">
        <f t="shared" si="15"/>
        <v>18.329999999999998</v>
      </c>
      <c r="M30" s="116">
        <v>4.93</v>
      </c>
      <c r="N30" s="113" t="str">
        <f t="shared" si="25"/>
        <v>AF</v>
      </c>
      <c r="O30" s="115" t="str">
        <f t="shared" si="24"/>
        <v>N</v>
      </c>
      <c r="P30" s="238" t="str">
        <f t="shared" si="3"/>
        <v>E</v>
      </c>
      <c r="Q30" s="238"/>
      <c r="R30" s="117">
        <f t="shared" si="16"/>
        <v>287.42</v>
      </c>
      <c r="S30" s="116">
        <v>287.97000000000003</v>
      </c>
      <c r="T30" s="117">
        <f t="shared" si="17"/>
        <v>284.58</v>
      </c>
      <c r="U30" s="264">
        <f t="shared" si="18"/>
        <v>285.48268300000001</v>
      </c>
      <c r="V30" s="117">
        <f t="shared" si="35"/>
        <v>2.8400000000000318</v>
      </c>
      <c r="W30" s="118">
        <f t="shared" si="36"/>
        <v>2.4873170000000187</v>
      </c>
      <c r="X30" s="189">
        <f t="shared" si="5"/>
        <v>2.66</v>
      </c>
      <c r="Y30" s="145">
        <f t="shared" si="6"/>
        <v>0</v>
      </c>
      <c r="Z30" s="121">
        <f t="shared" si="6"/>
        <v>0</v>
      </c>
      <c r="AA30" s="121">
        <f t="shared" si="6"/>
        <v>0</v>
      </c>
      <c r="AB30" s="121">
        <f t="shared" si="6"/>
        <v>0</v>
      </c>
      <c r="AC30" s="121">
        <f t="shared" si="6"/>
        <v>0</v>
      </c>
      <c r="AD30" s="121">
        <f t="shared" si="6"/>
        <v>0</v>
      </c>
      <c r="AE30" s="121">
        <f t="shared" si="6"/>
        <v>18.329999999999998</v>
      </c>
      <c r="AF30" s="121">
        <f t="shared" si="6"/>
        <v>0</v>
      </c>
      <c r="AG30" s="121">
        <f t="shared" si="6"/>
        <v>0</v>
      </c>
      <c r="AH30" s="122">
        <f t="shared" si="6"/>
        <v>0</v>
      </c>
      <c r="AI30" s="145">
        <f t="shared" si="7"/>
        <v>0</v>
      </c>
      <c r="AJ30" s="121">
        <f t="shared" si="7"/>
        <v>0</v>
      </c>
      <c r="AK30" s="121">
        <f t="shared" si="7"/>
        <v>0</v>
      </c>
      <c r="AL30" s="121">
        <f t="shared" si="7"/>
        <v>0</v>
      </c>
      <c r="AM30" s="121">
        <f t="shared" si="7"/>
        <v>0</v>
      </c>
      <c r="AN30" s="121">
        <f t="shared" si="7"/>
        <v>0</v>
      </c>
      <c r="AO30" s="121">
        <f t="shared" si="7"/>
        <v>0</v>
      </c>
      <c r="AP30" s="121">
        <f t="shared" si="7"/>
        <v>0</v>
      </c>
      <c r="AQ30" s="121">
        <f t="shared" si="7"/>
        <v>0</v>
      </c>
      <c r="AR30" s="122">
        <f t="shared" si="7"/>
        <v>0</v>
      </c>
      <c r="AS30" s="145">
        <f t="shared" si="8"/>
        <v>0</v>
      </c>
      <c r="AT30" s="121">
        <f t="shared" si="8"/>
        <v>0</v>
      </c>
      <c r="AU30" s="121">
        <f t="shared" si="8"/>
        <v>0</v>
      </c>
      <c r="AV30" s="121">
        <f t="shared" si="8"/>
        <v>0</v>
      </c>
      <c r="AW30" s="121">
        <f t="shared" si="8"/>
        <v>0</v>
      </c>
      <c r="AX30" s="121">
        <f t="shared" si="8"/>
        <v>0</v>
      </c>
      <c r="AY30" s="121">
        <f t="shared" si="8"/>
        <v>0</v>
      </c>
      <c r="AZ30" s="121">
        <f t="shared" si="8"/>
        <v>0</v>
      </c>
      <c r="BA30" s="121">
        <f t="shared" si="8"/>
        <v>0</v>
      </c>
      <c r="BB30" s="122">
        <f t="shared" si="8"/>
        <v>0</v>
      </c>
      <c r="BC30" s="145">
        <f t="shared" si="26"/>
        <v>0</v>
      </c>
      <c r="BD30" s="192">
        <f t="shared" si="19"/>
        <v>18.329999999999998</v>
      </c>
      <c r="BE30" s="192">
        <f t="shared" si="20"/>
        <v>0</v>
      </c>
      <c r="BF30" s="302">
        <f t="shared" si="37"/>
        <v>16.497</v>
      </c>
      <c r="BG30" s="192">
        <f t="shared" si="9"/>
        <v>0</v>
      </c>
      <c r="BH30" s="192">
        <f t="shared" si="22"/>
        <v>0</v>
      </c>
      <c r="BI30" s="122"/>
      <c r="BJ30" s="123"/>
      <c r="BL30" s="125">
        <f t="shared" si="10"/>
        <v>18.329999999999998</v>
      </c>
      <c r="BM30" s="125">
        <f t="shared" si="23"/>
        <v>0</v>
      </c>
    </row>
    <row r="31" spans="1:74" s="81" customFormat="1" ht="16.5" customHeight="1">
      <c r="A31" s="124" t="str">
        <f t="shared" si="11"/>
        <v>OK</v>
      </c>
      <c r="C31" s="748"/>
      <c r="D31" s="113"/>
      <c r="E31" s="114"/>
      <c r="F31" s="114">
        <f t="shared" si="12"/>
        <v>250</v>
      </c>
      <c r="G31" s="263" t="str">
        <f t="shared" si="12"/>
        <v>HD</v>
      </c>
      <c r="H31" s="115" t="str">
        <f t="shared" si="12"/>
        <v>K-9</v>
      </c>
      <c r="I31" s="117">
        <f t="shared" si="13"/>
        <v>1740</v>
      </c>
      <c r="J31" s="264">
        <v>1848.75</v>
      </c>
      <c r="K31" s="267">
        <v>106.88</v>
      </c>
      <c r="L31" s="118">
        <f t="shared" si="15"/>
        <v>107.01</v>
      </c>
      <c r="M31" s="116">
        <v>4.93</v>
      </c>
      <c r="N31" s="113" t="str">
        <f t="shared" si="25"/>
        <v>AF</v>
      </c>
      <c r="O31" s="115" t="str">
        <f t="shared" si="24"/>
        <v>N</v>
      </c>
      <c r="P31" s="238" t="str">
        <f t="shared" si="3"/>
        <v>E</v>
      </c>
      <c r="Q31" s="238"/>
      <c r="R31" s="117">
        <f t="shared" si="16"/>
        <v>287.97000000000003</v>
      </c>
      <c r="S31" s="116">
        <v>291.93</v>
      </c>
      <c r="T31" s="117">
        <f t="shared" si="17"/>
        <v>285.48268300000001</v>
      </c>
      <c r="U31" s="264">
        <v>290.5</v>
      </c>
      <c r="V31" s="117">
        <f t="shared" si="35"/>
        <v>2.4873170000000187</v>
      </c>
      <c r="W31" s="118">
        <f t="shared" si="36"/>
        <v>1.4300000000000068</v>
      </c>
      <c r="X31" s="189">
        <f t="shared" si="5"/>
        <v>1.96</v>
      </c>
      <c r="Y31" s="145">
        <f t="shared" ref="Y31:AH39" si="38">+IF($O31="N",IF($X31&gt;=Y$11,IF($X31&lt;=Y$12,$L31,0),0),0)</f>
        <v>0</v>
      </c>
      <c r="Z31" s="121">
        <f t="shared" si="38"/>
        <v>0</v>
      </c>
      <c r="AA31" s="121">
        <f t="shared" si="38"/>
        <v>0</v>
      </c>
      <c r="AB31" s="121">
        <f t="shared" si="38"/>
        <v>0</v>
      </c>
      <c r="AC31" s="121">
        <f t="shared" si="38"/>
        <v>107.01</v>
      </c>
      <c r="AD31" s="121">
        <f t="shared" si="38"/>
        <v>0</v>
      </c>
      <c r="AE31" s="121">
        <f t="shared" si="38"/>
        <v>0</v>
      </c>
      <c r="AF31" s="121">
        <f t="shared" si="38"/>
        <v>0</v>
      </c>
      <c r="AG31" s="121">
        <f t="shared" si="38"/>
        <v>0</v>
      </c>
      <c r="AH31" s="122">
        <f t="shared" si="38"/>
        <v>0</v>
      </c>
      <c r="AI31" s="145">
        <f t="shared" ref="AI31:AR39" si="39">+IF($O31="SR",IF($X31&gt;=AI$11,IF($X31&lt;=AI$12,$L31,0),0),0)</f>
        <v>0</v>
      </c>
      <c r="AJ31" s="121">
        <f t="shared" si="39"/>
        <v>0</v>
      </c>
      <c r="AK31" s="121">
        <f t="shared" si="39"/>
        <v>0</v>
      </c>
      <c r="AL31" s="121">
        <f t="shared" si="39"/>
        <v>0</v>
      </c>
      <c r="AM31" s="121">
        <f t="shared" si="39"/>
        <v>0</v>
      </c>
      <c r="AN31" s="121">
        <f t="shared" si="39"/>
        <v>0</v>
      </c>
      <c r="AO31" s="121">
        <f t="shared" si="39"/>
        <v>0</v>
      </c>
      <c r="AP31" s="121">
        <f t="shared" si="39"/>
        <v>0</v>
      </c>
      <c r="AQ31" s="121">
        <f t="shared" si="39"/>
        <v>0</v>
      </c>
      <c r="AR31" s="122">
        <f t="shared" si="39"/>
        <v>0</v>
      </c>
      <c r="AS31" s="145">
        <f t="shared" ref="AS31:BB39" si="40">+IF($O31="R",IF($X31&gt;=AS$11,IF($X31&lt;=AS$12,$L31,0),0),0)</f>
        <v>0</v>
      </c>
      <c r="AT31" s="121">
        <f t="shared" si="40"/>
        <v>0</v>
      </c>
      <c r="AU31" s="121">
        <f t="shared" si="40"/>
        <v>0</v>
      </c>
      <c r="AV31" s="121">
        <f t="shared" si="40"/>
        <v>0</v>
      </c>
      <c r="AW31" s="121">
        <f t="shared" si="40"/>
        <v>0</v>
      </c>
      <c r="AX31" s="121">
        <f t="shared" si="40"/>
        <v>0</v>
      </c>
      <c r="AY31" s="121">
        <f t="shared" si="40"/>
        <v>0</v>
      </c>
      <c r="AZ31" s="121">
        <f t="shared" si="40"/>
        <v>0</v>
      </c>
      <c r="BA31" s="121">
        <f t="shared" si="40"/>
        <v>0</v>
      </c>
      <c r="BB31" s="122">
        <f t="shared" si="40"/>
        <v>0</v>
      </c>
      <c r="BC31" s="145">
        <f t="shared" si="26"/>
        <v>0</v>
      </c>
      <c r="BD31" s="192">
        <f t="shared" si="19"/>
        <v>107.01</v>
      </c>
      <c r="BE31" s="192">
        <f t="shared" si="20"/>
        <v>0</v>
      </c>
      <c r="BF31" s="302">
        <f t="shared" si="37"/>
        <v>96.309000000000012</v>
      </c>
      <c r="BG31" s="192">
        <f t="shared" ref="BG31:BG34" si="41">+IF($N31=BG$12,$L31*($F31/1000+0.6),0)</f>
        <v>0</v>
      </c>
      <c r="BH31" s="192">
        <f t="shared" si="22"/>
        <v>0</v>
      </c>
      <c r="BI31" s="122"/>
      <c r="BJ31" s="123"/>
      <c r="BL31" s="125">
        <f t="shared" si="10"/>
        <v>107.01</v>
      </c>
      <c r="BM31" s="125">
        <f t="shared" si="23"/>
        <v>0</v>
      </c>
    </row>
    <row r="32" spans="1:74" s="81" customFormat="1" ht="16.5" customHeight="1">
      <c r="A32" s="124" t="str">
        <f t="shared" si="11"/>
        <v>OK</v>
      </c>
      <c r="C32" s="748"/>
      <c r="D32" s="113"/>
      <c r="E32" s="114"/>
      <c r="F32" s="114">
        <f t="shared" ref="F32:H33" si="42">+F31</f>
        <v>250</v>
      </c>
      <c r="G32" s="263" t="str">
        <f t="shared" si="42"/>
        <v>HD</v>
      </c>
      <c r="H32" s="115" t="str">
        <f t="shared" si="42"/>
        <v>K-9</v>
      </c>
      <c r="I32" s="117">
        <f t="shared" si="13"/>
        <v>1848.75</v>
      </c>
      <c r="J32" s="264">
        <v>1968.92</v>
      </c>
      <c r="K32" s="267">
        <f t="shared" si="14"/>
        <v>120.17000000000007</v>
      </c>
      <c r="L32" s="118">
        <f t="shared" si="15"/>
        <v>120.18</v>
      </c>
      <c r="M32" s="116">
        <v>1.03</v>
      </c>
      <c r="N32" s="113" t="str">
        <f t="shared" si="25"/>
        <v>AF</v>
      </c>
      <c r="O32" s="115" t="str">
        <f t="shared" si="24"/>
        <v>N</v>
      </c>
      <c r="P32" s="238">
        <f t="shared" si="3"/>
        <v>0</v>
      </c>
      <c r="Q32" s="238"/>
      <c r="R32" s="117">
        <f t="shared" si="16"/>
        <v>291.93</v>
      </c>
      <c r="S32" s="116">
        <v>293.57</v>
      </c>
      <c r="T32" s="117">
        <f t="shared" si="17"/>
        <v>290.5</v>
      </c>
      <c r="U32" s="264">
        <f t="shared" si="18"/>
        <v>291.737751</v>
      </c>
      <c r="V32" s="117">
        <f t="shared" si="35"/>
        <v>1.4300000000000068</v>
      </c>
      <c r="W32" s="118">
        <f t="shared" si="36"/>
        <v>1.8322489999999902</v>
      </c>
      <c r="X32" s="189">
        <f t="shared" si="5"/>
        <v>1.63</v>
      </c>
      <c r="Y32" s="145">
        <f t="shared" si="38"/>
        <v>0</v>
      </c>
      <c r="Z32" s="121">
        <f t="shared" si="38"/>
        <v>0</v>
      </c>
      <c r="AA32" s="121">
        <f t="shared" si="38"/>
        <v>0</v>
      </c>
      <c r="AB32" s="121">
        <f t="shared" si="38"/>
        <v>120.18</v>
      </c>
      <c r="AC32" s="121">
        <f t="shared" si="38"/>
        <v>0</v>
      </c>
      <c r="AD32" s="121">
        <f t="shared" si="38"/>
        <v>0</v>
      </c>
      <c r="AE32" s="121">
        <f t="shared" si="38"/>
        <v>0</v>
      </c>
      <c r="AF32" s="121">
        <f t="shared" si="38"/>
        <v>0</v>
      </c>
      <c r="AG32" s="121">
        <f t="shared" si="38"/>
        <v>0</v>
      </c>
      <c r="AH32" s="122">
        <f t="shared" si="38"/>
        <v>0</v>
      </c>
      <c r="AI32" s="145">
        <f t="shared" si="39"/>
        <v>0</v>
      </c>
      <c r="AJ32" s="121">
        <f t="shared" si="39"/>
        <v>0</v>
      </c>
      <c r="AK32" s="121">
        <f t="shared" si="39"/>
        <v>0</v>
      </c>
      <c r="AL32" s="121">
        <f t="shared" si="39"/>
        <v>0</v>
      </c>
      <c r="AM32" s="121">
        <f t="shared" si="39"/>
        <v>0</v>
      </c>
      <c r="AN32" s="121">
        <f t="shared" si="39"/>
        <v>0</v>
      </c>
      <c r="AO32" s="121">
        <f t="shared" si="39"/>
        <v>0</v>
      </c>
      <c r="AP32" s="121">
        <f t="shared" si="39"/>
        <v>0</v>
      </c>
      <c r="AQ32" s="121">
        <f t="shared" si="39"/>
        <v>0</v>
      </c>
      <c r="AR32" s="122">
        <f t="shared" si="39"/>
        <v>0</v>
      </c>
      <c r="AS32" s="145">
        <f t="shared" si="40"/>
        <v>0</v>
      </c>
      <c r="AT32" s="121">
        <f t="shared" si="40"/>
        <v>0</v>
      </c>
      <c r="AU32" s="121">
        <f t="shared" si="40"/>
        <v>0</v>
      </c>
      <c r="AV32" s="121">
        <f t="shared" si="40"/>
        <v>0</v>
      </c>
      <c r="AW32" s="121">
        <f t="shared" si="40"/>
        <v>0</v>
      </c>
      <c r="AX32" s="121">
        <f t="shared" si="40"/>
        <v>0</v>
      </c>
      <c r="AY32" s="121">
        <f t="shared" si="40"/>
        <v>0</v>
      </c>
      <c r="AZ32" s="121">
        <f t="shared" si="40"/>
        <v>0</v>
      </c>
      <c r="BA32" s="121">
        <f t="shared" si="40"/>
        <v>0</v>
      </c>
      <c r="BB32" s="122">
        <f t="shared" si="40"/>
        <v>0</v>
      </c>
      <c r="BC32" s="145">
        <f t="shared" si="26"/>
        <v>0</v>
      </c>
      <c r="BD32" s="192">
        <f t="shared" si="19"/>
        <v>0</v>
      </c>
      <c r="BE32" s="192">
        <f t="shared" si="20"/>
        <v>0</v>
      </c>
      <c r="BF32" s="302">
        <f t="shared" si="37"/>
        <v>108.16200000000001</v>
      </c>
      <c r="BG32" s="192">
        <f t="shared" si="41"/>
        <v>0</v>
      </c>
      <c r="BH32" s="192">
        <f t="shared" si="22"/>
        <v>0</v>
      </c>
      <c r="BI32" s="122"/>
      <c r="BJ32" s="123"/>
      <c r="BL32" s="125">
        <f t="shared" si="10"/>
        <v>120.18</v>
      </c>
      <c r="BM32" s="125">
        <f t="shared" si="23"/>
        <v>0</v>
      </c>
    </row>
    <row r="33" spans="1:73" s="81" customFormat="1" ht="16.5" customHeight="1">
      <c r="A33" s="124" t="str">
        <f t="shared" si="11"/>
        <v>OK</v>
      </c>
      <c r="C33" s="748"/>
      <c r="D33" s="113"/>
      <c r="E33" s="114"/>
      <c r="F33" s="114">
        <f t="shared" si="42"/>
        <v>250</v>
      </c>
      <c r="G33" s="263" t="str">
        <f t="shared" si="42"/>
        <v>HD</v>
      </c>
      <c r="H33" s="115" t="str">
        <f t="shared" si="42"/>
        <v>K-9</v>
      </c>
      <c r="I33" s="117">
        <f t="shared" si="13"/>
        <v>1968.92</v>
      </c>
      <c r="J33" s="264">
        <v>2134.25</v>
      </c>
      <c r="K33" s="267">
        <f t="shared" si="14"/>
        <v>165.32999999999993</v>
      </c>
      <c r="L33" s="118">
        <f t="shared" si="15"/>
        <v>165.43</v>
      </c>
      <c r="M33" s="116">
        <v>3.56</v>
      </c>
      <c r="N33" s="113" t="str">
        <f t="shared" si="25"/>
        <v>AF</v>
      </c>
      <c r="O33" s="115" t="str">
        <f t="shared" si="24"/>
        <v>N</v>
      </c>
      <c r="P33" s="238">
        <f t="shared" si="3"/>
        <v>0</v>
      </c>
      <c r="Q33" s="238"/>
      <c r="R33" s="117">
        <f t="shared" si="16"/>
        <v>293.57</v>
      </c>
      <c r="S33" s="116">
        <v>299.27999999999997</v>
      </c>
      <c r="T33" s="117">
        <f t="shared" si="17"/>
        <v>291.737751</v>
      </c>
      <c r="U33" s="264">
        <f t="shared" si="18"/>
        <v>297.62349899999998</v>
      </c>
      <c r="V33" s="117">
        <f t="shared" si="35"/>
        <v>1.8322489999999902</v>
      </c>
      <c r="W33" s="118">
        <f t="shared" si="36"/>
        <v>1.6565009999999916</v>
      </c>
      <c r="X33" s="189">
        <f t="shared" si="5"/>
        <v>1.74</v>
      </c>
      <c r="Y33" s="145">
        <f t="shared" si="38"/>
        <v>0</v>
      </c>
      <c r="Z33" s="121">
        <f t="shared" si="38"/>
        <v>0</v>
      </c>
      <c r="AA33" s="121">
        <f t="shared" si="38"/>
        <v>0</v>
      </c>
      <c r="AB33" s="121">
        <f t="shared" si="38"/>
        <v>165.43</v>
      </c>
      <c r="AC33" s="121">
        <f t="shared" si="38"/>
        <v>0</v>
      </c>
      <c r="AD33" s="121">
        <f t="shared" si="38"/>
        <v>0</v>
      </c>
      <c r="AE33" s="121">
        <f t="shared" si="38"/>
        <v>0</v>
      </c>
      <c r="AF33" s="121">
        <f t="shared" si="38"/>
        <v>0</v>
      </c>
      <c r="AG33" s="121">
        <f t="shared" si="38"/>
        <v>0</v>
      </c>
      <c r="AH33" s="122">
        <f t="shared" si="38"/>
        <v>0</v>
      </c>
      <c r="AI33" s="145">
        <f t="shared" si="39"/>
        <v>0</v>
      </c>
      <c r="AJ33" s="121">
        <f t="shared" si="39"/>
        <v>0</v>
      </c>
      <c r="AK33" s="121">
        <f t="shared" si="39"/>
        <v>0</v>
      </c>
      <c r="AL33" s="121">
        <f t="shared" si="39"/>
        <v>0</v>
      </c>
      <c r="AM33" s="121">
        <f t="shared" si="39"/>
        <v>0</v>
      </c>
      <c r="AN33" s="121">
        <f t="shared" si="39"/>
        <v>0</v>
      </c>
      <c r="AO33" s="121">
        <f t="shared" si="39"/>
        <v>0</v>
      </c>
      <c r="AP33" s="121">
        <f t="shared" si="39"/>
        <v>0</v>
      </c>
      <c r="AQ33" s="121">
        <f t="shared" si="39"/>
        <v>0</v>
      </c>
      <c r="AR33" s="122">
        <f t="shared" si="39"/>
        <v>0</v>
      </c>
      <c r="AS33" s="145">
        <f t="shared" si="40"/>
        <v>0</v>
      </c>
      <c r="AT33" s="121">
        <f t="shared" si="40"/>
        <v>0</v>
      </c>
      <c r="AU33" s="121">
        <f t="shared" si="40"/>
        <v>0</v>
      </c>
      <c r="AV33" s="121">
        <f t="shared" si="40"/>
        <v>0</v>
      </c>
      <c r="AW33" s="121">
        <f t="shared" si="40"/>
        <v>0</v>
      </c>
      <c r="AX33" s="121">
        <f t="shared" si="40"/>
        <v>0</v>
      </c>
      <c r="AY33" s="121">
        <f t="shared" si="40"/>
        <v>0</v>
      </c>
      <c r="AZ33" s="121">
        <f t="shared" si="40"/>
        <v>0</v>
      </c>
      <c r="BA33" s="121">
        <f t="shared" si="40"/>
        <v>0</v>
      </c>
      <c r="BB33" s="122">
        <f t="shared" si="40"/>
        <v>0</v>
      </c>
      <c r="BC33" s="145">
        <f t="shared" si="26"/>
        <v>0</v>
      </c>
      <c r="BD33" s="192">
        <f t="shared" si="19"/>
        <v>0</v>
      </c>
      <c r="BE33" s="192">
        <f t="shared" si="20"/>
        <v>0</v>
      </c>
      <c r="BF33" s="302">
        <f t="shared" si="37"/>
        <v>148.887</v>
      </c>
      <c r="BG33" s="192">
        <f t="shared" si="41"/>
        <v>0</v>
      </c>
      <c r="BH33" s="192">
        <f t="shared" si="22"/>
        <v>0</v>
      </c>
      <c r="BI33" s="122"/>
      <c r="BJ33" s="123"/>
      <c r="BL33" s="125">
        <f t="shared" si="10"/>
        <v>165.43</v>
      </c>
      <c r="BM33" s="125">
        <f t="shared" si="23"/>
        <v>0</v>
      </c>
    </row>
    <row r="34" spans="1:73" s="81" customFormat="1" ht="16.5" customHeight="1">
      <c r="A34" s="124" t="str">
        <f t="shared" si="11"/>
        <v>OK</v>
      </c>
      <c r="C34" s="748"/>
      <c r="D34" s="113"/>
      <c r="E34" s="114"/>
      <c r="F34" s="114">
        <f t="shared" ref="F34:H34" si="43">+F33</f>
        <v>250</v>
      </c>
      <c r="G34" s="263" t="str">
        <f t="shared" si="43"/>
        <v>HD</v>
      </c>
      <c r="H34" s="115" t="str">
        <f t="shared" si="43"/>
        <v>K-9</v>
      </c>
      <c r="I34" s="117">
        <f t="shared" ref="I34:I36" si="44">J33</f>
        <v>2134.25</v>
      </c>
      <c r="J34" s="264">
        <v>2155.92</v>
      </c>
      <c r="K34" s="267">
        <f t="shared" si="14"/>
        <v>21.670000000000073</v>
      </c>
      <c r="L34" s="118">
        <f t="shared" ref="L34:L36" si="45">+ROUND(K34*SQRT((M34/100)^2+1),2)</f>
        <v>21.67</v>
      </c>
      <c r="M34" s="116">
        <v>0.42</v>
      </c>
      <c r="N34" s="113" t="str">
        <f t="shared" si="25"/>
        <v>AF</v>
      </c>
      <c r="O34" s="115" t="str">
        <f t="shared" si="24"/>
        <v>N</v>
      </c>
      <c r="P34" s="238" t="str">
        <f t="shared" ref="P34:P36" si="46">+IF(O34="N",IF(X34&gt;1.75,"E",0),0)</f>
        <v>E</v>
      </c>
      <c r="Q34" s="238"/>
      <c r="R34" s="117">
        <f t="shared" ref="R34:R36" si="47">S33</f>
        <v>299.27999999999997</v>
      </c>
      <c r="S34" s="116">
        <v>300.07</v>
      </c>
      <c r="T34" s="117">
        <f t="shared" ref="T34:T36" si="48">U33</f>
        <v>297.62349899999998</v>
      </c>
      <c r="U34" s="264">
        <f t="shared" ref="U34:U36" si="49">+T34+K34*M34/100</f>
        <v>297.71451299999995</v>
      </c>
      <c r="V34" s="117">
        <f t="shared" si="35"/>
        <v>1.6565009999999916</v>
      </c>
      <c r="W34" s="118">
        <f t="shared" si="36"/>
        <v>2.3554870000000392</v>
      </c>
      <c r="X34" s="189">
        <f t="shared" ref="X34:X36" si="50">ROUND(AVERAGE(V34:W34),2)</f>
        <v>2.0099999999999998</v>
      </c>
      <c r="Y34" s="145">
        <f t="shared" si="38"/>
        <v>0</v>
      </c>
      <c r="Z34" s="121">
        <f t="shared" si="38"/>
        <v>0</v>
      </c>
      <c r="AA34" s="121">
        <f t="shared" si="38"/>
        <v>0</v>
      </c>
      <c r="AB34" s="121">
        <f t="shared" si="38"/>
        <v>0</v>
      </c>
      <c r="AC34" s="121">
        <f t="shared" si="38"/>
        <v>0</v>
      </c>
      <c r="AD34" s="121">
        <f t="shared" si="38"/>
        <v>21.67</v>
      </c>
      <c r="AE34" s="121">
        <f t="shared" si="38"/>
        <v>0</v>
      </c>
      <c r="AF34" s="121">
        <f t="shared" si="38"/>
        <v>0</v>
      </c>
      <c r="AG34" s="121">
        <f t="shared" si="38"/>
        <v>0</v>
      </c>
      <c r="AH34" s="122">
        <f t="shared" si="38"/>
        <v>0</v>
      </c>
      <c r="AI34" s="145">
        <f t="shared" si="39"/>
        <v>0</v>
      </c>
      <c r="AJ34" s="121">
        <f t="shared" si="39"/>
        <v>0</v>
      </c>
      <c r="AK34" s="121">
        <f t="shared" si="39"/>
        <v>0</v>
      </c>
      <c r="AL34" s="121">
        <f t="shared" si="39"/>
        <v>0</v>
      </c>
      <c r="AM34" s="121">
        <f t="shared" si="39"/>
        <v>0</v>
      </c>
      <c r="AN34" s="121">
        <f t="shared" si="39"/>
        <v>0</v>
      </c>
      <c r="AO34" s="121">
        <f t="shared" si="39"/>
        <v>0</v>
      </c>
      <c r="AP34" s="121">
        <f t="shared" si="39"/>
        <v>0</v>
      </c>
      <c r="AQ34" s="121">
        <f t="shared" si="39"/>
        <v>0</v>
      </c>
      <c r="AR34" s="122">
        <f t="shared" si="39"/>
        <v>0</v>
      </c>
      <c r="AS34" s="145">
        <f t="shared" si="40"/>
        <v>0</v>
      </c>
      <c r="AT34" s="121">
        <f t="shared" si="40"/>
        <v>0</v>
      </c>
      <c r="AU34" s="121">
        <f t="shared" si="40"/>
        <v>0</v>
      </c>
      <c r="AV34" s="121">
        <f t="shared" si="40"/>
        <v>0</v>
      </c>
      <c r="AW34" s="121">
        <f t="shared" si="40"/>
        <v>0</v>
      </c>
      <c r="AX34" s="121">
        <f t="shared" si="40"/>
        <v>0</v>
      </c>
      <c r="AY34" s="121">
        <f t="shared" si="40"/>
        <v>0</v>
      </c>
      <c r="AZ34" s="121">
        <f t="shared" si="40"/>
        <v>0</v>
      </c>
      <c r="BA34" s="121">
        <f t="shared" si="40"/>
        <v>0</v>
      </c>
      <c r="BB34" s="122">
        <f t="shared" si="40"/>
        <v>0</v>
      </c>
      <c r="BC34" s="145">
        <f t="shared" ref="BC34:BC36" si="51">+IF(N34="SP",L34,0)</f>
        <v>0</v>
      </c>
      <c r="BD34" s="192">
        <f t="shared" ref="BD34:BD36" si="52">+IF(P34="E",L34,0)</f>
        <v>21.67</v>
      </c>
      <c r="BE34" s="192">
        <f t="shared" ref="BE34:BE36" si="53">+IF(Q34="A",L34,0)</f>
        <v>0</v>
      </c>
      <c r="BF34" s="302">
        <f t="shared" si="37"/>
        <v>19.503000000000004</v>
      </c>
      <c r="BG34" s="192">
        <f t="shared" si="41"/>
        <v>0</v>
      </c>
      <c r="BH34" s="192">
        <f t="shared" si="22"/>
        <v>0</v>
      </c>
      <c r="BI34" s="122"/>
      <c r="BJ34" s="123"/>
      <c r="BL34" s="125">
        <f t="shared" ref="BL34:BL36" si="54">+IF(N34="AF",L34,0)</f>
        <v>21.67</v>
      </c>
      <c r="BM34" s="125">
        <f t="shared" ref="BM34:BM36" si="55">+IF(O34="SP",K34,0)</f>
        <v>0</v>
      </c>
    </row>
    <row r="35" spans="1:73" s="81" customFormat="1" ht="16.5" customHeight="1">
      <c r="A35" s="124" t="str">
        <f t="shared" si="11"/>
        <v>OK</v>
      </c>
      <c r="C35" s="748"/>
      <c r="D35" s="113"/>
      <c r="E35" s="114"/>
      <c r="F35" s="114">
        <f t="shared" ref="F35:H35" si="56">+F34</f>
        <v>250</v>
      </c>
      <c r="G35" s="263" t="str">
        <f t="shared" si="56"/>
        <v>HD</v>
      </c>
      <c r="H35" s="115" t="str">
        <f t="shared" si="56"/>
        <v>K-9</v>
      </c>
      <c r="I35" s="117">
        <f t="shared" si="44"/>
        <v>2155.92</v>
      </c>
      <c r="J35" s="264">
        <v>2284.52</v>
      </c>
      <c r="K35" s="267">
        <f t="shared" si="14"/>
        <v>128.59999999999991</v>
      </c>
      <c r="L35" s="118">
        <f t="shared" si="45"/>
        <v>128.82</v>
      </c>
      <c r="M35" s="116">
        <v>5.8</v>
      </c>
      <c r="N35" s="113" t="str">
        <f t="shared" si="25"/>
        <v>AF</v>
      </c>
      <c r="O35" s="115" t="str">
        <f t="shared" si="24"/>
        <v>N</v>
      </c>
      <c r="P35" s="238" t="str">
        <f t="shared" si="46"/>
        <v>E</v>
      </c>
      <c r="Q35" s="238"/>
      <c r="R35" s="117">
        <f t="shared" si="47"/>
        <v>300.07</v>
      </c>
      <c r="S35" s="116">
        <v>307.32</v>
      </c>
      <c r="T35" s="117">
        <f t="shared" si="48"/>
        <v>297.71451299999995</v>
      </c>
      <c r="U35" s="264">
        <f t="shared" si="49"/>
        <v>305.17331299999995</v>
      </c>
      <c r="V35" s="117">
        <f t="shared" si="35"/>
        <v>2.3554870000000392</v>
      </c>
      <c r="W35" s="118">
        <f t="shared" si="36"/>
        <v>2.1466870000000426</v>
      </c>
      <c r="X35" s="189">
        <f t="shared" si="50"/>
        <v>2.25</v>
      </c>
      <c r="Y35" s="145">
        <f t="shared" si="38"/>
        <v>0</v>
      </c>
      <c r="Z35" s="121">
        <f t="shared" si="38"/>
        <v>0</v>
      </c>
      <c r="AA35" s="121">
        <f t="shared" si="38"/>
        <v>0</v>
      </c>
      <c r="AB35" s="121">
        <f t="shared" si="38"/>
        <v>0</v>
      </c>
      <c r="AC35" s="121">
        <f t="shared" si="38"/>
        <v>0</v>
      </c>
      <c r="AD35" s="121">
        <f t="shared" si="38"/>
        <v>128.82</v>
      </c>
      <c r="AE35" s="121">
        <f t="shared" si="38"/>
        <v>0</v>
      </c>
      <c r="AF35" s="121">
        <f t="shared" si="38"/>
        <v>0</v>
      </c>
      <c r="AG35" s="121">
        <f t="shared" si="38"/>
        <v>0</v>
      </c>
      <c r="AH35" s="122">
        <f t="shared" si="38"/>
        <v>0</v>
      </c>
      <c r="AI35" s="145">
        <f t="shared" si="39"/>
        <v>0</v>
      </c>
      <c r="AJ35" s="121">
        <f t="shared" si="39"/>
        <v>0</v>
      </c>
      <c r="AK35" s="121">
        <f t="shared" si="39"/>
        <v>0</v>
      </c>
      <c r="AL35" s="121">
        <f t="shared" si="39"/>
        <v>0</v>
      </c>
      <c r="AM35" s="121">
        <f t="shared" si="39"/>
        <v>0</v>
      </c>
      <c r="AN35" s="121">
        <f t="shared" si="39"/>
        <v>0</v>
      </c>
      <c r="AO35" s="121">
        <f t="shared" si="39"/>
        <v>0</v>
      </c>
      <c r="AP35" s="121">
        <f t="shared" si="39"/>
        <v>0</v>
      </c>
      <c r="AQ35" s="121">
        <f t="shared" si="39"/>
        <v>0</v>
      </c>
      <c r="AR35" s="122">
        <f t="shared" si="39"/>
        <v>0</v>
      </c>
      <c r="AS35" s="145">
        <f t="shared" si="40"/>
        <v>0</v>
      </c>
      <c r="AT35" s="121">
        <f t="shared" si="40"/>
        <v>0</v>
      </c>
      <c r="AU35" s="121">
        <f t="shared" si="40"/>
        <v>0</v>
      </c>
      <c r="AV35" s="121">
        <f t="shared" si="40"/>
        <v>0</v>
      </c>
      <c r="AW35" s="121">
        <f t="shared" si="40"/>
        <v>0</v>
      </c>
      <c r="AX35" s="121">
        <f t="shared" si="40"/>
        <v>0</v>
      </c>
      <c r="AY35" s="121">
        <f t="shared" si="40"/>
        <v>0</v>
      </c>
      <c r="AZ35" s="121">
        <f t="shared" si="40"/>
        <v>0</v>
      </c>
      <c r="BA35" s="121">
        <f t="shared" si="40"/>
        <v>0</v>
      </c>
      <c r="BB35" s="122">
        <f t="shared" si="40"/>
        <v>0</v>
      </c>
      <c r="BC35" s="145">
        <f t="shared" si="51"/>
        <v>0</v>
      </c>
      <c r="BD35" s="192">
        <f t="shared" si="52"/>
        <v>128.82</v>
      </c>
      <c r="BE35" s="192">
        <f t="shared" si="53"/>
        <v>0</v>
      </c>
      <c r="BF35" s="302">
        <f t="shared" si="37"/>
        <v>115.938</v>
      </c>
      <c r="BG35" s="192">
        <f t="shared" ref="BG35:BG39" si="57">+IF($N35=BG$12,$L35*($F35/1000+0.6),0)</f>
        <v>0</v>
      </c>
      <c r="BH35" s="192">
        <f t="shared" si="22"/>
        <v>0</v>
      </c>
      <c r="BI35" s="122"/>
      <c r="BJ35" s="123"/>
      <c r="BL35" s="125">
        <f t="shared" si="54"/>
        <v>128.82</v>
      </c>
      <c r="BM35" s="125">
        <f t="shared" si="55"/>
        <v>0</v>
      </c>
    </row>
    <row r="36" spans="1:73" s="81" customFormat="1" ht="16.5" customHeight="1">
      <c r="A36" s="124" t="str">
        <f t="shared" si="11"/>
        <v>OK</v>
      </c>
      <c r="C36" s="748"/>
      <c r="D36" s="113"/>
      <c r="E36" s="114"/>
      <c r="F36" s="114">
        <f t="shared" ref="F36:H39" si="58">+F35</f>
        <v>250</v>
      </c>
      <c r="G36" s="263" t="str">
        <f t="shared" si="58"/>
        <v>HD</v>
      </c>
      <c r="H36" s="115" t="str">
        <f t="shared" si="58"/>
        <v>K-9</v>
      </c>
      <c r="I36" s="117">
        <f t="shared" si="44"/>
        <v>2284.52</v>
      </c>
      <c r="J36" s="264">
        <v>2360</v>
      </c>
      <c r="K36" s="267">
        <f t="shared" si="14"/>
        <v>75.480000000000018</v>
      </c>
      <c r="L36" s="118">
        <f t="shared" si="45"/>
        <v>76.239999999999995</v>
      </c>
      <c r="M36" s="116">
        <v>14.27</v>
      </c>
      <c r="N36" s="113" t="str">
        <f t="shared" si="25"/>
        <v>AF</v>
      </c>
      <c r="O36" s="115" t="str">
        <f t="shared" si="24"/>
        <v>N</v>
      </c>
      <c r="P36" s="238">
        <f t="shared" si="46"/>
        <v>0</v>
      </c>
      <c r="Q36" s="238"/>
      <c r="R36" s="117">
        <f t="shared" si="47"/>
        <v>307.32</v>
      </c>
      <c r="S36" s="116">
        <v>316.64</v>
      </c>
      <c r="T36" s="117">
        <f t="shared" si="48"/>
        <v>305.17331299999995</v>
      </c>
      <c r="U36" s="264">
        <f t="shared" si="49"/>
        <v>315.94430899999998</v>
      </c>
      <c r="V36" s="117">
        <f t="shared" si="35"/>
        <v>2.1466870000000426</v>
      </c>
      <c r="W36" s="118">
        <f t="shared" si="36"/>
        <v>0.69569100000001072</v>
      </c>
      <c r="X36" s="189">
        <f t="shared" si="50"/>
        <v>1.42</v>
      </c>
      <c r="Y36" s="145">
        <f t="shared" si="38"/>
        <v>0</v>
      </c>
      <c r="Z36" s="121">
        <f t="shared" si="38"/>
        <v>0</v>
      </c>
      <c r="AA36" s="121">
        <f t="shared" si="38"/>
        <v>76.239999999999995</v>
      </c>
      <c r="AB36" s="121">
        <f t="shared" si="38"/>
        <v>0</v>
      </c>
      <c r="AC36" s="121">
        <f t="shared" si="38"/>
        <v>0</v>
      </c>
      <c r="AD36" s="121">
        <f t="shared" si="38"/>
        <v>0</v>
      </c>
      <c r="AE36" s="121">
        <f t="shared" si="38"/>
        <v>0</v>
      </c>
      <c r="AF36" s="121">
        <f t="shared" si="38"/>
        <v>0</v>
      </c>
      <c r="AG36" s="121">
        <f t="shared" si="38"/>
        <v>0</v>
      </c>
      <c r="AH36" s="122">
        <f t="shared" si="38"/>
        <v>0</v>
      </c>
      <c r="AI36" s="145">
        <f t="shared" si="39"/>
        <v>0</v>
      </c>
      <c r="AJ36" s="121">
        <f t="shared" si="39"/>
        <v>0</v>
      </c>
      <c r="AK36" s="121">
        <f t="shared" si="39"/>
        <v>0</v>
      </c>
      <c r="AL36" s="121">
        <f t="shared" si="39"/>
        <v>0</v>
      </c>
      <c r="AM36" s="121">
        <f t="shared" si="39"/>
        <v>0</v>
      </c>
      <c r="AN36" s="121">
        <f t="shared" si="39"/>
        <v>0</v>
      </c>
      <c r="AO36" s="121">
        <f t="shared" si="39"/>
        <v>0</v>
      </c>
      <c r="AP36" s="121">
        <f t="shared" si="39"/>
        <v>0</v>
      </c>
      <c r="AQ36" s="121">
        <f t="shared" si="39"/>
        <v>0</v>
      </c>
      <c r="AR36" s="122">
        <f t="shared" si="39"/>
        <v>0</v>
      </c>
      <c r="AS36" s="145">
        <f t="shared" si="40"/>
        <v>0</v>
      </c>
      <c r="AT36" s="121">
        <f t="shared" si="40"/>
        <v>0</v>
      </c>
      <c r="AU36" s="121">
        <f t="shared" si="40"/>
        <v>0</v>
      </c>
      <c r="AV36" s="121">
        <f t="shared" si="40"/>
        <v>0</v>
      </c>
      <c r="AW36" s="121">
        <f t="shared" si="40"/>
        <v>0</v>
      </c>
      <c r="AX36" s="121">
        <f t="shared" si="40"/>
        <v>0</v>
      </c>
      <c r="AY36" s="121">
        <f t="shared" si="40"/>
        <v>0</v>
      </c>
      <c r="AZ36" s="121">
        <f t="shared" si="40"/>
        <v>0</v>
      </c>
      <c r="BA36" s="121">
        <f t="shared" si="40"/>
        <v>0</v>
      </c>
      <c r="BB36" s="122">
        <f t="shared" si="40"/>
        <v>0</v>
      </c>
      <c r="BC36" s="145">
        <f t="shared" si="51"/>
        <v>0</v>
      </c>
      <c r="BD36" s="192">
        <f t="shared" si="52"/>
        <v>0</v>
      </c>
      <c r="BE36" s="192">
        <f t="shared" si="53"/>
        <v>0</v>
      </c>
      <c r="BF36" s="302">
        <f t="shared" si="37"/>
        <v>68.616</v>
      </c>
      <c r="BG36" s="192">
        <f t="shared" si="57"/>
        <v>0</v>
      </c>
      <c r="BH36" s="192">
        <f t="shared" si="22"/>
        <v>0</v>
      </c>
      <c r="BI36" s="122"/>
      <c r="BJ36" s="123"/>
      <c r="BL36" s="125">
        <f t="shared" si="54"/>
        <v>76.239999999999995</v>
      </c>
      <c r="BM36" s="125">
        <f t="shared" si="55"/>
        <v>0</v>
      </c>
    </row>
    <row r="37" spans="1:73" s="81" customFormat="1" ht="16.5" customHeight="1">
      <c r="A37" s="124" t="str">
        <f t="shared" si="11"/>
        <v>OK</v>
      </c>
      <c r="C37" s="748"/>
      <c r="D37" s="113"/>
      <c r="E37" s="114"/>
      <c r="F37" s="114">
        <f t="shared" si="58"/>
        <v>250</v>
      </c>
      <c r="G37" s="263" t="str">
        <f t="shared" si="58"/>
        <v>HD</v>
      </c>
      <c r="H37" s="115" t="str">
        <f t="shared" si="58"/>
        <v>K-9</v>
      </c>
      <c r="I37" s="117">
        <f t="shared" ref="I37" si="59">J36</f>
        <v>2360</v>
      </c>
      <c r="J37" s="264">
        <v>2583.85</v>
      </c>
      <c r="K37" s="267">
        <f t="shared" si="14"/>
        <v>223.84999999999991</v>
      </c>
      <c r="L37" s="118">
        <f t="shared" ref="L37" si="60">+ROUND(K37*SQRT((M37/100)^2+1),2)</f>
        <v>226.12</v>
      </c>
      <c r="M37" s="116">
        <v>14.27</v>
      </c>
      <c r="N37" s="113" t="str">
        <f t="shared" si="25"/>
        <v>AF</v>
      </c>
      <c r="O37" s="115" t="s">
        <v>4</v>
      </c>
      <c r="P37" s="238">
        <f t="shared" ref="P37" si="61">+IF(O37="N",IF(X37&gt;1.75,"E",0),0)</f>
        <v>0</v>
      </c>
      <c r="Q37" s="238"/>
      <c r="R37" s="117">
        <f t="shared" ref="R37" si="62">S36</f>
        <v>316.64</v>
      </c>
      <c r="S37" s="116">
        <v>349.1</v>
      </c>
      <c r="T37" s="117">
        <f t="shared" ref="T37" si="63">U36</f>
        <v>315.94430899999998</v>
      </c>
      <c r="U37" s="264">
        <v>347.88</v>
      </c>
      <c r="V37" s="117">
        <f t="shared" si="35"/>
        <v>0.69569100000001072</v>
      </c>
      <c r="W37" s="118">
        <f t="shared" si="36"/>
        <v>1.2200000000000273</v>
      </c>
      <c r="X37" s="189">
        <f t="shared" ref="X37" si="64">ROUND(AVERAGE(V37:W37),2)</f>
        <v>0.96</v>
      </c>
      <c r="Y37" s="145">
        <f t="shared" si="38"/>
        <v>0</v>
      </c>
      <c r="Z37" s="121">
        <f t="shared" si="38"/>
        <v>0</v>
      </c>
      <c r="AA37" s="121">
        <f t="shared" si="38"/>
        <v>0</v>
      </c>
      <c r="AB37" s="121">
        <f t="shared" si="38"/>
        <v>0</v>
      </c>
      <c r="AC37" s="121">
        <f t="shared" si="38"/>
        <v>0</v>
      </c>
      <c r="AD37" s="121">
        <f t="shared" si="38"/>
        <v>0</v>
      </c>
      <c r="AE37" s="121">
        <f t="shared" si="38"/>
        <v>0</v>
      </c>
      <c r="AF37" s="121">
        <f t="shared" si="38"/>
        <v>0</v>
      </c>
      <c r="AG37" s="121">
        <f t="shared" si="38"/>
        <v>0</v>
      </c>
      <c r="AH37" s="122">
        <f t="shared" si="38"/>
        <v>0</v>
      </c>
      <c r="AI37" s="145">
        <f t="shared" si="39"/>
        <v>0</v>
      </c>
      <c r="AJ37" s="121">
        <f t="shared" si="39"/>
        <v>0</v>
      </c>
      <c r="AK37" s="121">
        <f t="shared" si="39"/>
        <v>0</v>
      </c>
      <c r="AL37" s="121">
        <f t="shared" si="39"/>
        <v>0</v>
      </c>
      <c r="AM37" s="121">
        <f t="shared" si="39"/>
        <v>0</v>
      </c>
      <c r="AN37" s="121">
        <f t="shared" si="39"/>
        <v>0</v>
      </c>
      <c r="AO37" s="121">
        <f t="shared" si="39"/>
        <v>0</v>
      </c>
      <c r="AP37" s="121">
        <f t="shared" si="39"/>
        <v>0</v>
      </c>
      <c r="AQ37" s="121">
        <f t="shared" si="39"/>
        <v>0</v>
      </c>
      <c r="AR37" s="122">
        <f t="shared" si="39"/>
        <v>0</v>
      </c>
      <c r="AS37" s="145">
        <f t="shared" si="40"/>
        <v>226.12</v>
      </c>
      <c r="AT37" s="121">
        <f t="shared" si="40"/>
        <v>0</v>
      </c>
      <c r="AU37" s="121">
        <f t="shared" si="40"/>
        <v>0</v>
      </c>
      <c r="AV37" s="121">
        <f t="shared" si="40"/>
        <v>0</v>
      </c>
      <c r="AW37" s="121">
        <f t="shared" si="40"/>
        <v>0</v>
      </c>
      <c r="AX37" s="121">
        <f t="shared" si="40"/>
        <v>0</v>
      </c>
      <c r="AY37" s="121">
        <f t="shared" si="40"/>
        <v>0</v>
      </c>
      <c r="AZ37" s="121">
        <f t="shared" si="40"/>
        <v>0</v>
      </c>
      <c r="BA37" s="121">
        <f t="shared" si="40"/>
        <v>0</v>
      </c>
      <c r="BB37" s="122">
        <f t="shared" si="40"/>
        <v>0</v>
      </c>
      <c r="BC37" s="145">
        <f t="shared" ref="BC37" si="65">+IF(N37="SP",L37,0)</f>
        <v>0</v>
      </c>
      <c r="BD37" s="192">
        <f t="shared" ref="BD37" si="66">+IF(P37="E",L37,0)</f>
        <v>0</v>
      </c>
      <c r="BE37" s="192">
        <f t="shared" ref="BE37" si="67">+IF(Q37="A",L37,0)</f>
        <v>0</v>
      </c>
      <c r="BF37" s="302">
        <f t="shared" si="37"/>
        <v>203.50800000000001</v>
      </c>
      <c r="BG37" s="192">
        <f t="shared" si="57"/>
        <v>0</v>
      </c>
      <c r="BH37" s="192">
        <f t="shared" si="22"/>
        <v>0</v>
      </c>
      <c r="BI37" s="122"/>
      <c r="BJ37" s="123"/>
      <c r="BL37" s="125">
        <f t="shared" ref="BL37" si="68">+IF(N37="AF",L37,0)</f>
        <v>226.12</v>
      </c>
      <c r="BM37" s="125">
        <f t="shared" ref="BM37" si="69">+IF(O37="SP",K37,0)</f>
        <v>0</v>
      </c>
    </row>
    <row r="38" spans="1:73" s="81" customFormat="1" ht="16.5" customHeight="1">
      <c r="A38" s="124" t="str">
        <f t="shared" si="11"/>
        <v>OK</v>
      </c>
      <c r="C38" s="748"/>
      <c r="D38" s="113"/>
      <c r="E38" s="114"/>
      <c r="F38" s="114">
        <f t="shared" si="58"/>
        <v>250</v>
      </c>
      <c r="G38" s="263" t="str">
        <f t="shared" si="58"/>
        <v>HD</v>
      </c>
      <c r="H38" s="115" t="str">
        <f t="shared" si="58"/>
        <v>K-9</v>
      </c>
      <c r="I38" s="117">
        <f t="shared" ref="I38" si="70">J37</f>
        <v>2583.85</v>
      </c>
      <c r="J38" s="264">
        <v>2604.23</v>
      </c>
      <c r="K38" s="267">
        <f t="shared" si="14"/>
        <v>20.380000000000109</v>
      </c>
      <c r="L38" s="118">
        <f t="shared" ref="L38" si="71">+ROUND(K38*SQRT((M38/100)^2+1),2)</f>
        <v>20.5</v>
      </c>
      <c r="M38" s="116">
        <v>10.75</v>
      </c>
      <c r="N38" s="113" t="str">
        <f t="shared" si="25"/>
        <v>AF</v>
      </c>
      <c r="O38" s="115" t="str">
        <f t="shared" si="24"/>
        <v>R</v>
      </c>
      <c r="P38" s="238">
        <f t="shared" ref="P38" si="72">+IF(O38="N",IF(X38&gt;1.75,"E",0),0)</f>
        <v>0</v>
      </c>
      <c r="Q38" s="238"/>
      <c r="R38" s="117">
        <f t="shared" ref="R38" si="73">S37</f>
        <v>349.1</v>
      </c>
      <c r="S38" s="116">
        <v>351.4</v>
      </c>
      <c r="T38" s="117">
        <f t="shared" ref="T38" si="74">U37</f>
        <v>347.88</v>
      </c>
      <c r="U38" s="264">
        <f t="shared" ref="U38" si="75">+T38+K38*M38/100</f>
        <v>350.07085000000001</v>
      </c>
      <c r="V38" s="117">
        <f t="shared" si="35"/>
        <v>1.2200000000000273</v>
      </c>
      <c r="W38" s="118">
        <f t="shared" si="36"/>
        <v>1.3291499999999701</v>
      </c>
      <c r="X38" s="189">
        <f t="shared" ref="X38" si="76">ROUND(AVERAGE(V38:W38),2)</f>
        <v>1.27</v>
      </c>
      <c r="Y38" s="145">
        <f t="shared" si="38"/>
        <v>0</v>
      </c>
      <c r="Z38" s="121">
        <f t="shared" si="38"/>
        <v>0</v>
      </c>
      <c r="AA38" s="121">
        <f t="shared" si="38"/>
        <v>0</v>
      </c>
      <c r="AB38" s="121">
        <f t="shared" si="38"/>
        <v>0</v>
      </c>
      <c r="AC38" s="121">
        <f t="shared" si="38"/>
        <v>0</v>
      </c>
      <c r="AD38" s="121">
        <f t="shared" si="38"/>
        <v>0</v>
      </c>
      <c r="AE38" s="121">
        <f t="shared" si="38"/>
        <v>0</v>
      </c>
      <c r="AF38" s="121">
        <f t="shared" si="38"/>
        <v>0</v>
      </c>
      <c r="AG38" s="121">
        <f t="shared" si="38"/>
        <v>0</v>
      </c>
      <c r="AH38" s="122">
        <f t="shared" si="38"/>
        <v>0</v>
      </c>
      <c r="AI38" s="145">
        <f t="shared" si="39"/>
        <v>0</v>
      </c>
      <c r="AJ38" s="121">
        <f t="shared" si="39"/>
        <v>0</v>
      </c>
      <c r="AK38" s="121">
        <f t="shared" si="39"/>
        <v>0</v>
      </c>
      <c r="AL38" s="121">
        <f t="shared" si="39"/>
        <v>0</v>
      </c>
      <c r="AM38" s="121">
        <f t="shared" si="39"/>
        <v>0</v>
      </c>
      <c r="AN38" s="121">
        <f t="shared" si="39"/>
        <v>0</v>
      </c>
      <c r="AO38" s="121">
        <f t="shared" si="39"/>
        <v>0</v>
      </c>
      <c r="AP38" s="121">
        <f t="shared" si="39"/>
        <v>0</v>
      </c>
      <c r="AQ38" s="121">
        <f t="shared" si="39"/>
        <v>0</v>
      </c>
      <c r="AR38" s="122">
        <f t="shared" si="39"/>
        <v>0</v>
      </c>
      <c r="AS38" s="145">
        <f t="shared" si="40"/>
        <v>0</v>
      </c>
      <c r="AT38" s="121">
        <f t="shared" si="40"/>
        <v>0</v>
      </c>
      <c r="AU38" s="121">
        <f t="shared" si="40"/>
        <v>20.5</v>
      </c>
      <c r="AV38" s="121">
        <f t="shared" si="40"/>
        <v>0</v>
      </c>
      <c r="AW38" s="121">
        <f t="shared" si="40"/>
        <v>0</v>
      </c>
      <c r="AX38" s="121">
        <f t="shared" si="40"/>
        <v>0</v>
      </c>
      <c r="AY38" s="121">
        <f t="shared" si="40"/>
        <v>0</v>
      </c>
      <c r="AZ38" s="121">
        <f t="shared" si="40"/>
        <v>0</v>
      </c>
      <c r="BA38" s="121">
        <f t="shared" si="40"/>
        <v>0</v>
      </c>
      <c r="BB38" s="122">
        <f t="shared" si="40"/>
        <v>0</v>
      </c>
      <c r="BC38" s="145">
        <f t="shared" ref="BC38" si="77">+IF(N38="SP",L38,0)</f>
        <v>0</v>
      </c>
      <c r="BD38" s="192">
        <f t="shared" ref="BD38" si="78">+IF(P38="E",L38,0)</f>
        <v>0</v>
      </c>
      <c r="BE38" s="192">
        <f t="shared" ref="BE38" si="79">+IF(Q38="A",L38,0)</f>
        <v>0</v>
      </c>
      <c r="BF38" s="302">
        <f t="shared" si="37"/>
        <v>18.45</v>
      </c>
      <c r="BG38" s="192">
        <f t="shared" si="57"/>
        <v>0</v>
      </c>
      <c r="BH38" s="192">
        <f t="shared" si="22"/>
        <v>0</v>
      </c>
      <c r="BI38" s="122"/>
      <c r="BJ38" s="123"/>
      <c r="BL38" s="125">
        <f t="shared" ref="BL38" si="80">+IF(N38="AF",L38,0)</f>
        <v>20.5</v>
      </c>
      <c r="BM38" s="125">
        <f t="shared" ref="BM38" si="81">+IF(O38="SP",K38,0)</f>
        <v>0</v>
      </c>
    </row>
    <row r="39" spans="1:73" s="81" customFormat="1" ht="16.5" customHeight="1">
      <c r="A39" s="124" t="str">
        <f t="shared" si="11"/>
        <v>OK</v>
      </c>
      <c r="C39" s="748"/>
      <c r="D39" s="113"/>
      <c r="E39" s="114"/>
      <c r="F39" s="114">
        <f t="shared" si="58"/>
        <v>250</v>
      </c>
      <c r="G39" s="263" t="str">
        <f t="shared" si="58"/>
        <v>HD</v>
      </c>
      <c r="H39" s="115" t="str">
        <f t="shared" si="58"/>
        <v>K-9</v>
      </c>
      <c r="I39" s="117">
        <f t="shared" ref="I39" si="82">J38</f>
        <v>2604.23</v>
      </c>
      <c r="J39" s="264">
        <v>2606.77</v>
      </c>
      <c r="K39" s="267">
        <f t="shared" si="14"/>
        <v>2.5399999999999636</v>
      </c>
      <c r="L39" s="118">
        <f t="shared" ref="L39" si="83">+ROUND(K39*SQRT((M39/100)^2+1),2)</f>
        <v>2.54</v>
      </c>
      <c r="M39" s="116">
        <v>0</v>
      </c>
      <c r="N39" s="113" t="str">
        <f t="shared" si="25"/>
        <v>AF</v>
      </c>
      <c r="O39" s="115" t="str">
        <f t="shared" si="24"/>
        <v>R</v>
      </c>
      <c r="P39" s="238">
        <f t="shared" ref="P39" si="84">+IF(O39="N",IF(X39&gt;1.75,"E",0),0)</f>
        <v>0</v>
      </c>
      <c r="Q39" s="238"/>
      <c r="R39" s="117">
        <f t="shared" ref="R39" si="85">S38</f>
        <v>351.4</v>
      </c>
      <c r="S39" s="116">
        <v>352.79</v>
      </c>
      <c r="T39" s="117">
        <f t="shared" ref="T39" si="86">U38</f>
        <v>350.07085000000001</v>
      </c>
      <c r="U39" s="264">
        <f t="shared" ref="U39" si="87">+T39+K39*M39/100</f>
        <v>350.07085000000001</v>
      </c>
      <c r="V39" s="117">
        <f t="shared" si="35"/>
        <v>1.3291499999999701</v>
      </c>
      <c r="W39" s="118">
        <f t="shared" si="36"/>
        <v>2.7191500000000133</v>
      </c>
      <c r="X39" s="189">
        <f t="shared" ref="X39" si="88">ROUND(AVERAGE(V39:W39),2)</f>
        <v>2.02</v>
      </c>
      <c r="Y39" s="145">
        <f t="shared" si="38"/>
        <v>0</v>
      </c>
      <c r="Z39" s="121">
        <f t="shared" si="38"/>
        <v>0</v>
      </c>
      <c r="AA39" s="121">
        <f t="shared" si="38"/>
        <v>0</v>
      </c>
      <c r="AB39" s="121">
        <f t="shared" si="38"/>
        <v>0</v>
      </c>
      <c r="AC39" s="121">
        <f t="shared" si="38"/>
        <v>0</v>
      </c>
      <c r="AD39" s="121">
        <f t="shared" si="38"/>
        <v>0</v>
      </c>
      <c r="AE39" s="121">
        <f t="shared" si="38"/>
        <v>0</v>
      </c>
      <c r="AF39" s="121">
        <f t="shared" si="38"/>
        <v>0</v>
      </c>
      <c r="AG39" s="121">
        <f t="shared" si="38"/>
        <v>0</v>
      </c>
      <c r="AH39" s="122">
        <f t="shared" si="38"/>
        <v>0</v>
      </c>
      <c r="AI39" s="145">
        <f t="shared" si="39"/>
        <v>0</v>
      </c>
      <c r="AJ39" s="121">
        <f t="shared" si="39"/>
        <v>0</v>
      </c>
      <c r="AK39" s="121">
        <f t="shared" si="39"/>
        <v>0</v>
      </c>
      <c r="AL39" s="121">
        <f t="shared" si="39"/>
        <v>0</v>
      </c>
      <c r="AM39" s="121">
        <f t="shared" si="39"/>
        <v>0</v>
      </c>
      <c r="AN39" s="121">
        <f t="shared" si="39"/>
        <v>0</v>
      </c>
      <c r="AO39" s="121">
        <f t="shared" si="39"/>
        <v>0</v>
      </c>
      <c r="AP39" s="121">
        <f t="shared" si="39"/>
        <v>0</v>
      </c>
      <c r="AQ39" s="121">
        <f t="shared" si="39"/>
        <v>0</v>
      </c>
      <c r="AR39" s="122">
        <f t="shared" si="39"/>
        <v>0</v>
      </c>
      <c r="AS39" s="145">
        <f t="shared" si="40"/>
        <v>0</v>
      </c>
      <c r="AT39" s="121">
        <f t="shared" si="40"/>
        <v>0</v>
      </c>
      <c r="AU39" s="121">
        <f t="shared" si="40"/>
        <v>0</v>
      </c>
      <c r="AV39" s="121">
        <f t="shared" si="40"/>
        <v>0</v>
      </c>
      <c r="AW39" s="121">
        <f t="shared" si="40"/>
        <v>0</v>
      </c>
      <c r="AX39" s="121">
        <f t="shared" si="40"/>
        <v>2.54</v>
      </c>
      <c r="AY39" s="121">
        <f t="shared" si="40"/>
        <v>0</v>
      </c>
      <c r="AZ39" s="121">
        <f t="shared" si="40"/>
        <v>0</v>
      </c>
      <c r="BA39" s="121">
        <f t="shared" si="40"/>
        <v>0</v>
      </c>
      <c r="BB39" s="122">
        <f t="shared" si="40"/>
        <v>0</v>
      </c>
      <c r="BC39" s="145">
        <f t="shared" ref="BC39" si="89">+IF(N39="SP",L39,0)</f>
        <v>0</v>
      </c>
      <c r="BD39" s="192">
        <f t="shared" ref="BD39" si="90">+IF(P39="E",L39,0)</f>
        <v>0</v>
      </c>
      <c r="BE39" s="192">
        <f t="shared" ref="BE39" si="91">+IF(Q39="A",L39,0)</f>
        <v>0</v>
      </c>
      <c r="BF39" s="302">
        <f t="shared" si="37"/>
        <v>2.286</v>
      </c>
      <c r="BG39" s="192">
        <f t="shared" si="57"/>
        <v>0</v>
      </c>
      <c r="BH39" s="192">
        <f t="shared" si="22"/>
        <v>0</v>
      </c>
      <c r="BI39" s="122"/>
      <c r="BJ39" s="123"/>
      <c r="BL39" s="125">
        <f t="shared" ref="BL39" si="92">+IF(N39="AF",L39,0)</f>
        <v>2.54</v>
      </c>
      <c r="BM39" s="125">
        <f t="shared" ref="BM39" si="93">+IF(O39="SP",K39,0)</f>
        <v>0</v>
      </c>
    </row>
    <row r="40" spans="1:73" s="81" customFormat="1" ht="12.75" customHeight="1">
      <c r="C40" s="759"/>
      <c r="D40" s="178"/>
      <c r="E40" s="179"/>
      <c r="F40" s="179"/>
      <c r="G40" s="179"/>
      <c r="H40" s="180"/>
      <c r="I40" s="181"/>
      <c r="J40" s="182"/>
      <c r="K40" s="203"/>
      <c r="L40" s="204">
        <f>SUM(L26:L39)</f>
        <v>1061.2199999999998</v>
      </c>
      <c r="M40" s="184"/>
      <c r="N40" s="204">
        <f>SUM(N14:N33)</f>
        <v>0</v>
      </c>
      <c r="O40" s="180"/>
      <c r="P40" s="239"/>
      <c r="Q40" s="239"/>
      <c r="R40" s="181"/>
      <c r="S40" s="182"/>
      <c r="T40" s="181"/>
      <c r="U40" s="182"/>
      <c r="V40" s="181"/>
      <c r="W40" s="183"/>
      <c r="X40" s="190"/>
      <c r="Y40" s="220">
        <f t="shared" ref="Y40:BI40" si="94">SUM(Y26:Y39)</f>
        <v>0</v>
      </c>
      <c r="Z40" s="221">
        <f t="shared" si="94"/>
        <v>0</v>
      </c>
      <c r="AA40" s="221">
        <f t="shared" si="94"/>
        <v>76.239999999999995</v>
      </c>
      <c r="AB40" s="221">
        <f t="shared" si="94"/>
        <v>285.61</v>
      </c>
      <c r="AC40" s="221">
        <f t="shared" si="94"/>
        <v>239.54000000000002</v>
      </c>
      <c r="AD40" s="221">
        <f t="shared" si="94"/>
        <v>170.51</v>
      </c>
      <c r="AE40" s="221">
        <f t="shared" si="94"/>
        <v>40.159999999999997</v>
      </c>
      <c r="AF40" s="221">
        <f t="shared" si="94"/>
        <v>0</v>
      </c>
      <c r="AG40" s="221">
        <f t="shared" si="94"/>
        <v>0</v>
      </c>
      <c r="AH40" s="222">
        <f t="shared" si="94"/>
        <v>0</v>
      </c>
      <c r="AI40" s="226">
        <f t="shared" si="94"/>
        <v>0</v>
      </c>
      <c r="AJ40" s="227">
        <f t="shared" si="94"/>
        <v>0</v>
      </c>
      <c r="AK40" s="227">
        <f t="shared" si="94"/>
        <v>0</v>
      </c>
      <c r="AL40" s="227">
        <f t="shared" si="94"/>
        <v>0</v>
      </c>
      <c r="AM40" s="227">
        <f t="shared" si="94"/>
        <v>0</v>
      </c>
      <c r="AN40" s="227">
        <f t="shared" si="94"/>
        <v>0</v>
      </c>
      <c r="AO40" s="227">
        <f t="shared" si="94"/>
        <v>0</v>
      </c>
      <c r="AP40" s="227">
        <f t="shared" si="94"/>
        <v>0</v>
      </c>
      <c r="AQ40" s="227">
        <f t="shared" si="94"/>
        <v>0</v>
      </c>
      <c r="AR40" s="228">
        <f t="shared" si="94"/>
        <v>0</v>
      </c>
      <c r="AS40" s="271">
        <f t="shared" si="94"/>
        <v>226.12</v>
      </c>
      <c r="AT40" s="272">
        <f t="shared" si="94"/>
        <v>0</v>
      </c>
      <c r="AU40" s="272">
        <f t="shared" si="94"/>
        <v>20.5</v>
      </c>
      <c r="AV40" s="272">
        <f t="shared" si="94"/>
        <v>0</v>
      </c>
      <c r="AW40" s="272">
        <f t="shared" si="94"/>
        <v>0</v>
      </c>
      <c r="AX40" s="272">
        <f t="shared" si="94"/>
        <v>2.54</v>
      </c>
      <c r="AY40" s="272">
        <f t="shared" si="94"/>
        <v>0</v>
      </c>
      <c r="AZ40" s="272">
        <f t="shared" si="94"/>
        <v>0</v>
      </c>
      <c r="BA40" s="272">
        <f t="shared" si="94"/>
        <v>0</v>
      </c>
      <c r="BB40" s="273">
        <f t="shared" si="94"/>
        <v>0</v>
      </c>
      <c r="BC40" s="223">
        <f t="shared" si="94"/>
        <v>0</v>
      </c>
      <c r="BD40" s="224">
        <f t="shared" si="94"/>
        <v>450.21</v>
      </c>
      <c r="BE40" s="224">
        <f t="shared" si="94"/>
        <v>0</v>
      </c>
      <c r="BF40" s="224">
        <f t="shared" si="94"/>
        <v>937.08</v>
      </c>
      <c r="BG40" s="224">
        <f t="shared" si="94"/>
        <v>0</v>
      </c>
      <c r="BH40" s="224">
        <f t="shared" si="94"/>
        <v>39.039000000000001</v>
      </c>
      <c r="BI40" s="225">
        <f t="shared" si="94"/>
        <v>0</v>
      </c>
      <c r="BJ40" s="123"/>
      <c r="BL40" s="125">
        <f t="shared" si="10"/>
        <v>0</v>
      </c>
      <c r="BM40" s="125"/>
      <c r="BS40" s="246">
        <v>0.2</v>
      </c>
      <c r="BT40" s="246" t="s">
        <v>132</v>
      </c>
      <c r="BU40" s="246">
        <v>0.2</v>
      </c>
    </row>
    <row r="41" spans="1:73" s="81" customFormat="1" ht="6" customHeight="1" thickBot="1">
      <c r="C41" s="127"/>
      <c r="D41" s="128"/>
      <c r="E41" s="129"/>
      <c r="F41" s="129"/>
      <c r="G41" s="129"/>
      <c r="H41" s="130"/>
      <c r="I41" s="131"/>
      <c r="J41" s="132"/>
      <c r="K41" s="131"/>
      <c r="L41" s="133"/>
      <c r="M41" s="134"/>
      <c r="N41" s="128"/>
      <c r="O41" s="130"/>
      <c r="P41" s="240"/>
      <c r="Q41" s="240"/>
      <c r="R41" s="131"/>
      <c r="S41" s="132"/>
      <c r="T41" s="131"/>
      <c r="U41" s="132"/>
      <c r="V41" s="131"/>
      <c r="W41" s="133"/>
      <c r="X41" s="191"/>
      <c r="Y41" s="146"/>
      <c r="Z41" s="137"/>
      <c r="AA41" s="137"/>
      <c r="AB41" s="137"/>
      <c r="AC41" s="137"/>
      <c r="AD41" s="137"/>
      <c r="AE41" s="137"/>
      <c r="AF41" s="137"/>
      <c r="AG41" s="137"/>
      <c r="AH41" s="138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46"/>
      <c r="AT41" s="137"/>
      <c r="AU41" s="137"/>
      <c r="AV41" s="137"/>
      <c r="AW41" s="137"/>
      <c r="AX41" s="137"/>
      <c r="AY41" s="137"/>
      <c r="AZ41" s="137"/>
      <c r="BA41" s="137"/>
      <c r="BB41" s="138"/>
      <c r="BC41" s="146">
        <f>+IF(N41="SP",L41,0)</f>
        <v>0</v>
      </c>
      <c r="BD41" s="233"/>
      <c r="BE41" s="233"/>
      <c r="BF41" s="233"/>
      <c r="BG41" s="233"/>
      <c r="BH41" s="233"/>
      <c r="BI41" s="138"/>
      <c r="BJ41" s="123"/>
      <c r="BL41" s="125"/>
      <c r="BM41" s="125"/>
    </row>
    <row r="42" spans="1:73" s="81" customFormat="1" ht="12" hidden="1" customHeight="1" thickBot="1">
      <c r="C42" s="150"/>
      <c r="D42" s="151"/>
      <c r="E42" s="151"/>
      <c r="F42" s="151"/>
      <c r="G42" s="151"/>
      <c r="H42" s="151"/>
      <c r="I42" s="125"/>
      <c r="J42" s="152"/>
      <c r="K42" s="153"/>
      <c r="L42" s="153"/>
      <c r="M42" s="154"/>
      <c r="N42" s="151"/>
      <c r="O42" s="151"/>
      <c r="P42" s="151"/>
      <c r="Q42" s="151"/>
      <c r="R42" s="125"/>
      <c r="S42" s="152"/>
      <c r="T42" s="125"/>
      <c r="U42" s="152"/>
      <c r="V42" s="159" t="s">
        <v>171</v>
      </c>
      <c r="W42" s="125"/>
      <c r="X42" s="125"/>
      <c r="Y42" s="123" t="e">
        <f>+#REF!*1.5</f>
        <v>#REF!</v>
      </c>
      <c r="Z42" s="123"/>
      <c r="AA42" s="123"/>
      <c r="AB42" s="123" t="e">
        <f>+#REF!*1.5</f>
        <v>#REF!</v>
      </c>
      <c r="AC42" s="123" t="e">
        <f>+#REF!*1.5</f>
        <v>#REF!</v>
      </c>
      <c r="AD42" s="123" t="e">
        <f>+#REF!*1.5</f>
        <v>#REF!</v>
      </c>
      <c r="AE42" s="123" t="e">
        <f>+#REF!*1.5</f>
        <v>#REF!</v>
      </c>
      <c r="AF42" s="123" t="e">
        <f>+#REF!*1.5</f>
        <v>#REF!</v>
      </c>
      <c r="AG42" s="123" t="e">
        <f>+#REF!*1.5</f>
        <v>#REF!</v>
      </c>
      <c r="AH42" s="123" t="e">
        <f>+#REF!*1.5</f>
        <v>#REF!</v>
      </c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57"/>
      <c r="BD42" s="234"/>
      <c r="BE42" s="234"/>
      <c r="BF42" s="234"/>
      <c r="BG42" s="234"/>
      <c r="BH42" s="234"/>
      <c r="BI42" s="158"/>
      <c r="BJ42" s="123"/>
      <c r="BL42" s="125"/>
      <c r="BM42" s="125"/>
    </row>
    <row r="43" spans="1:73" ht="15.75" customHeight="1" thickBot="1">
      <c r="C43" s="67"/>
      <c r="D43" s="67"/>
      <c r="E43" s="67"/>
      <c r="F43" s="67"/>
      <c r="G43" s="67"/>
      <c r="H43" s="67"/>
      <c r="I43" s="69"/>
      <c r="J43" s="76"/>
      <c r="K43" s="69">
        <f>+L8</f>
        <v>0</v>
      </c>
      <c r="L43" s="69"/>
      <c r="M43" s="69"/>
      <c r="N43" s="69"/>
      <c r="O43" s="69"/>
      <c r="P43" s="69"/>
      <c r="Q43" s="67"/>
      <c r="R43" s="69"/>
      <c r="S43" s="69"/>
      <c r="T43" s="69"/>
      <c r="U43" s="69"/>
      <c r="V43" s="69"/>
      <c r="W43" s="69"/>
      <c r="X43" s="149"/>
      <c r="Y43" s="744">
        <f>SUM(Y40:AH40)+SUM(Y25:AH25)</f>
        <v>2361.96</v>
      </c>
      <c r="Z43" s="745"/>
      <c r="AA43" s="745"/>
      <c r="AB43" s="745"/>
      <c r="AC43" s="745"/>
      <c r="AD43" s="745"/>
      <c r="AE43" s="745"/>
      <c r="AF43" s="745"/>
      <c r="AG43" s="745"/>
      <c r="AH43" s="746"/>
      <c r="AI43" s="744">
        <f>SUM(AI40:AR40)</f>
        <v>0</v>
      </c>
      <c r="AJ43" s="745"/>
      <c r="AK43" s="745"/>
      <c r="AL43" s="745"/>
      <c r="AM43" s="745"/>
      <c r="AN43" s="745"/>
      <c r="AO43" s="745"/>
      <c r="AP43" s="745"/>
      <c r="AQ43" s="745"/>
      <c r="AR43" s="746"/>
      <c r="AS43" s="744">
        <f>SUM(AS40:BB40)+SUM(AS25:BB25)</f>
        <v>249.16</v>
      </c>
      <c r="AT43" s="745"/>
      <c r="AU43" s="745"/>
      <c r="AV43" s="745"/>
      <c r="AW43" s="745"/>
      <c r="AX43" s="745"/>
      <c r="AY43" s="745"/>
      <c r="AZ43" s="745"/>
      <c r="BA43" s="745"/>
      <c r="BB43" s="746"/>
      <c r="BC43" s="229"/>
      <c r="BD43" s="229"/>
      <c r="BE43" s="229"/>
      <c r="BF43" s="229"/>
      <c r="BG43" s="229"/>
      <c r="BH43" s="229"/>
      <c r="BI43" s="229"/>
      <c r="BJ43" s="77"/>
      <c r="BL43" s="77"/>
      <c r="BM43" s="77"/>
    </row>
    <row r="44" spans="1:73" ht="7.5" customHeight="1">
      <c r="I44" s="70"/>
      <c r="K44" s="70"/>
      <c r="L44" s="70"/>
      <c r="M44" s="70"/>
      <c r="P44" s="69"/>
      <c r="U44" s="69"/>
      <c r="V44" s="67"/>
      <c r="W44" s="67"/>
      <c r="X44" s="67"/>
    </row>
    <row r="45" spans="1:73">
      <c r="I45" s="70"/>
      <c r="K45" s="70"/>
      <c r="L45" s="70"/>
      <c r="M45" s="70"/>
      <c r="U45" s="69"/>
      <c r="V45" s="67"/>
      <c r="W45" s="67"/>
      <c r="X45" s="67"/>
    </row>
    <row r="46" spans="1:73">
      <c r="F46" s="288" t="s">
        <v>225</v>
      </c>
      <c r="G46" s="292"/>
      <c r="H46" s="292"/>
      <c r="I46" s="290"/>
      <c r="K46" s="290" t="s">
        <v>227</v>
      </c>
      <c r="L46" s="290" t="s">
        <v>229</v>
      </c>
      <c r="M46" s="290" t="s">
        <v>239</v>
      </c>
      <c r="N46" s="290" t="s">
        <v>226</v>
      </c>
      <c r="O46" s="291" t="s">
        <v>2</v>
      </c>
      <c r="P46" s="370" t="s">
        <v>228</v>
      </c>
      <c r="Q46" s="370"/>
      <c r="S46" s="729" t="s">
        <v>676</v>
      </c>
      <c r="T46" s="729"/>
      <c r="U46" s="729"/>
      <c r="BD46" s="241"/>
    </row>
    <row r="47" spans="1:73" ht="12.75" customHeight="1">
      <c r="F47" s="293" t="s">
        <v>299</v>
      </c>
      <c r="G47" s="295"/>
      <c r="H47" s="295"/>
      <c r="I47" s="296"/>
      <c r="J47" s="295"/>
      <c r="K47" s="295"/>
      <c r="L47" s="296"/>
      <c r="M47" s="298"/>
      <c r="N47" s="295"/>
      <c r="O47" s="295" t="s">
        <v>133</v>
      </c>
      <c r="P47" s="369">
        <f>SUM(P48:Q51)</f>
        <v>922.923</v>
      </c>
      <c r="Q47" s="369"/>
      <c r="S47" s="377" t="s">
        <v>1041</v>
      </c>
      <c r="T47" s="377" t="s">
        <v>1046</v>
      </c>
      <c r="U47" s="378">
        <v>1</v>
      </c>
    </row>
    <row r="48" spans="1:73">
      <c r="G48" s="247" t="s">
        <v>212</v>
      </c>
      <c r="I48" s="285"/>
      <c r="K48" s="70">
        <v>2</v>
      </c>
      <c r="L48" s="285">
        <v>0.6</v>
      </c>
      <c r="M48" s="285">
        <v>2.6</v>
      </c>
      <c r="N48" s="285">
        <v>2</v>
      </c>
      <c r="O48" s="285"/>
      <c r="P48" s="69">
        <f>+K48*(M48+2*L48)*(N48+2*L48)</f>
        <v>24.32</v>
      </c>
      <c r="Q48" s="69"/>
      <c r="S48" s="377" t="s">
        <v>1042</v>
      </c>
      <c r="T48" s="377" t="s">
        <v>1052</v>
      </c>
      <c r="U48" s="378">
        <v>1</v>
      </c>
    </row>
    <row r="49" spans="6:24">
      <c r="G49" s="247" t="s">
        <v>303</v>
      </c>
      <c r="I49" s="285"/>
      <c r="K49" s="70">
        <v>1</v>
      </c>
      <c r="L49" s="285">
        <v>0.6</v>
      </c>
      <c r="M49" s="285">
        <v>3.4</v>
      </c>
      <c r="N49" s="285">
        <v>2.8</v>
      </c>
      <c r="O49" s="285"/>
      <c r="P49" s="69">
        <f>+K49*(M49+2*L49)*(N49+2*L49)</f>
        <v>18.399999999999999</v>
      </c>
      <c r="Q49" s="69"/>
      <c r="S49" s="377" t="s">
        <v>1050</v>
      </c>
      <c r="T49" s="377" t="s">
        <v>1053</v>
      </c>
      <c r="U49" s="378">
        <v>1</v>
      </c>
    </row>
    <row r="50" spans="6:24">
      <c r="G50" s="247" t="s">
        <v>304</v>
      </c>
      <c r="I50" s="285"/>
      <c r="K50" s="70">
        <v>2</v>
      </c>
      <c r="L50" s="285"/>
      <c r="M50" s="285">
        <v>39</v>
      </c>
      <c r="N50" s="285">
        <v>0.8</v>
      </c>
      <c r="O50" s="285"/>
      <c r="P50" s="69">
        <f>+K50*(M50+2*L50)*(N50+2*L50)</f>
        <v>62.400000000000006</v>
      </c>
      <c r="Q50" s="69"/>
      <c r="S50" s="377" t="s">
        <v>1051</v>
      </c>
      <c r="T50" s="377" t="s">
        <v>1054</v>
      </c>
      <c r="U50" s="378">
        <v>1</v>
      </c>
    </row>
    <row r="51" spans="6:24">
      <c r="G51" s="247" t="s">
        <v>261</v>
      </c>
      <c r="I51" s="70"/>
      <c r="K51" s="70">
        <v>1</v>
      </c>
      <c r="L51" s="285"/>
      <c r="M51" s="78">
        <f>SUM(BF40)-BF27-BF26</f>
        <v>817.803</v>
      </c>
      <c r="N51" s="285"/>
      <c r="O51" s="285"/>
      <c r="P51" s="69">
        <f>+PRODUCT(K51:O51)</f>
        <v>817.803</v>
      </c>
      <c r="Q51" s="69"/>
    </row>
    <row r="52" spans="6:24">
      <c r="G52" s="247"/>
      <c r="I52" s="70"/>
      <c r="K52" s="70"/>
      <c r="L52" s="285"/>
      <c r="M52" s="285"/>
      <c r="N52" s="285"/>
      <c r="O52" s="285"/>
      <c r="P52" s="306"/>
      <c r="Q52" s="306"/>
      <c r="S52" s="729" t="s">
        <v>1057</v>
      </c>
      <c r="T52" s="729"/>
      <c r="U52" s="729"/>
    </row>
    <row r="53" spans="6:24" ht="12.75" customHeight="1">
      <c r="F53" s="293" t="s">
        <v>300</v>
      </c>
      <c r="G53" s="295"/>
      <c r="H53" s="295"/>
      <c r="I53" s="296"/>
      <c r="J53" s="295"/>
      <c r="K53" s="295"/>
      <c r="L53" s="296"/>
      <c r="M53" s="298"/>
      <c r="N53" s="295"/>
      <c r="O53" s="295" t="s">
        <v>133</v>
      </c>
      <c r="P53" s="369">
        <f>SUM(P54:Q59)</f>
        <v>2609.3410000000003</v>
      </c>
      <c r="Q53" s="369"/>
      <c r="R53" s="285"/>
      <c r="S53" s="377" t="s">
        <v>1076</v>
      </c>
      <c r="T53" s="377" t="s">
        <v>1078</v>
      </c>
      <c r="U53" s="378">
        <v>1</v>
      </c>
      <c r="V53" s="285"/>
      <c r="W53" s="285"/>
      <c r="X53" s="285"/>
    </row>
    <row r="54" spans="6:24">
      <c r="G54" s="247" t="s">
        <v>305</v>
      </c>
      <c r="I54" s="285"/>
      <c r="K54" s="70">
        <v>1</v>
      </c>
      <c r="L54" s="285"/>
      <c r="M54" s="285">
        <v>5.8</v>
      </c>
      <c r="N54" s="285">
        <v>1.5</v>
      </c>
      <c r="O54" s="285"/>
      <c r="P54" s="69">
        <f>+K54*(M54+2*L54)*(N54+2*L54)</f>
        <v>8.6999999999999993</v>
      </c>
      <c r="Q54" s="69"/>
      <c r="R54" s="285"/>
      <c r="S54" s="377" t="s">
        <v>1076</v>
      </c>
      <c r="T54" s="377" t="s">
        <v>1079</v>
      </c>
      <c r="U54" s="378">
        <v>1</v>
      </c>
      <c r="V54" s="285"/>
      <c r="W54" s="285"/>
      <c r="X54" s="285"/>
    </row>
    <row r="55" spans="6:24">
      <c r="G55" s="247" t="s">
        <v>290</v>
      </c>
      <c r="I55" s="285"/>
      <c r="K55" s="70">
        <v>1</v>
      </c>
      <c r="L55" s="285"/>
      <c r="M55" s="285">
        <v>23</v>
      </c>
      <c r="N55" s="285">
        <v>0.8</v>
      </c>
      <c r="O55" s="285"/>
      <c r="P55" s="69">
        <f>+K55*(M55+2*L55)*(N55+2*L55)</f>
        <v>18.400000000000002</v>
      </c>
      <c r="Q55" s="69"/>
      <c r="R55" s="285"/>
      <c r="S55" s="377" t="s">
        <v>1077</v>
      </c>
      <c r="T55" s="377" t="s">
        <v>1080</v>
      </c>
      <c r="U55" s="378">
        <v>1</v>
      </c>
      <c r="V55" s="285"/>
      <c r="W55" s="285"/>
      <c r="X55" s="285"/>
    </row>
    <row r="56" spans="6:24">
      <c r="G56" s="303" t="s">
        <v>306</v>
      </c>
      <c r="I56" s="285"/>
      <c r="K56" s="70"/>
      <c r="L56" s="285"/>
      <c r="M56" s="285"/>
      <c r="N56" s="285"/>
      <c r="O56" s="285"/>
      <c r="P56" s="69">
        <f t="shared" ref="P56:P58" si="95">+PRODUCT(K56:O56)</f>
        <v>0</v>
      </c>
      <c r="Q56" s="69"/>
      <c r="R56" s="285"/>
      <c r="S56" s="285"/>
      <c r="T56" s="285"/>
      <c r="U56" s="285"/>
      <c r="V56" s="285"/>
      <c r="W56" s="285"/>
      <c r="X56" s="285"/>
    </row>
    <row r="57" spans="6:24">
      <c r="G57" s="303" t="s">
        <v>307</v>
      </c>
      <c r="I57" s="285"/>
      <c r="K57" s="70">
        <v>1</v>
      </c>
      <c r="L57" s="285"/>
      <c r="M57" s="285">
        <v>308.58</v>
      </c>
      <c r="N57" s="285">
        <v>2.2000000000000002</v>
      </c>
      <c r="O57" s="285"/>
      <c r="P57" s="69">
        <f t="shared" si="95"/>
        <v>678.87599999999998</v>
      </c>
      <c r="Q57" s="69"/>
      <c r="R57" s="285"/>
      <c r="S57" s="729" t="s">
        <v>172</v>
      </c>
      <c r="T57" s="729"/>
      <c r="U57" s="729"/>
      <c r="V57" s="285"/>
      <c r="W57" s="285"/>
      <c r="X57" s="285"/>
    </row>
    <row r="58" spans="6:24">
      <c r="G58" s="303" t="s">
        <v>308</v>
      </c>
      <c r="I58" s="285"/>
      <c r="K58" s="70">
        <v>1</v>
      </c>
      <c r="L58" s="285"/>
      <c r="M58" s="285">
        <v>270</v>
      </c>
      <c r="N58" s="285">
        <v>2.2000000000000002</v>
      </c>
      <c r="O58" s="285"/>
      <c r="P58" s="69">
        <f t="shared" si="95"/>
        <v>594</v>
      </c>
      <c r="Q58" s="69"/>
      <c r="R58" s="285"/>
      <c r="S58" s="377" t="s">
        <v>1141</v>
      </c>
      <c r="T58" s="377" t="s">
        <v>1143</v>
      </c>
      <c r="U58" s="378">
        <v>1</v>
      </c>
      <c r="V58" s="285"/>
      <c r="W58" s="285"/>
      <c r="X58" s="285"/>
    </row>
    <row r="59" spans="6:24">
      <c r="G59" s="247" t="s">
        <v>261</v>
      </c>
      <c r="I59" s="70"/>
      <c r="K59" s="70">
        <v>1</v>
      </c>
      <c r="L59" s="285"/>
      <c r="M59" s="285">
        <f>+BF40+BF25-M51</f>
        <v>1309.3650000000002</v>
      </c>
      <c r="N59" s="285"/>
      <c r="O59" s="285"/>
      <c r="P59" s="69">
        <f>+PRODUCT(K59:O59)</f>
        <v>1309.3650000000002</v>
      </c>
      <c r="Q59" s="69"/>
      <c r="R59" s="285"/>
      <c r="S59" s="377" t="s">
        <v>1141</v>
      </c>
      <c r="T59" s="377" t="s">
        <v>1148</v>
      </c>
      <c r="U59" s="378">
        <v>1</v>
      </c>
      <c r="V59" s="285"/>
      <c r="W59" s="285"/>
      <c r="X59" s="285"/>
    </row>
    <row r="60" spans="6:24">
      <c r="G60" s="247"/>
      <c r="I60" s="70"/>
      <c r="K60" s="70"/>
      <c r="L60" s="285"/>
      <c r="M60" s="285"/>
      <c r="N60" s="285"/>
      <c r="O60" s="285"/>
      <c r="P60" s="306"/>
      <c r="Q60" s="306"/>
      <c r="R60" s="285"/>
      <c r="S60" s="285"/>
      <c r="T60" s="285"/>
      <c r="U60" s="285"/>
      <c r="V60" s="285"/>
      <c r="W60" s="285"/>
      <c r="X60" s="285"/>
    </row>
    <row r="61" spans="6:24" ht="12.75" customHeight="1">
      <c r="F61" s="293" t="s">
        <v>327</v>
      </c>
      <c r="G61" s="295"/>
      <c r="H61" s="295"/>
      <c r="I61" s="296"/>
      <c r="J61" s="295"/>
      <c r="K61" s="295"/>
      <c r="L61" s="296"/>
      <c r="M61" s="298"/>
      <c r="N61" s="295"/>
      <c r="O61" s="295" t="s">
        <v>133</v>
      </c>
      <c r="P61" s="369">
        <f>SUM(P62:Q63)</f>
        <v>72</v>
      </c>
      <c r="Q61" s="369"/>
      <c r="R61" s="285"/>
      <c r="S61" s="306"/>
      <c r="T61" s="306"/>
      <c r="U61" s="306"/>
      <c r="V61" s="306"/>
      <c r="W61" s="285"/>
      <c r="X61" s="285"/>
    </row>
    <row r="62" spans="6:24">
      <c r="G62" s="247" t="s">
        <v>309</v>
      </c>
      <c r="I62" s="285"/>
      <c r="K62" s="70">
        <v>1</v>
      </c>
      <c r="L62" s="285"/>
      <c r="M62" s="285">
        <v>24</v>
      </c>
      <c r="N62" s="285">
        <v>3</v>
      </c>
      <c r="O62" s="285"/>
      <c r="P62" s="69">
        <f>+K62*(M62+2*L62)*(N62+2*L62)</f>
        <v>72</v>
      </c>
      <c r="Q62" s="69"/>
      <c r="R62" s="285"/>
      <c r="S62" s="306"/>
      <c r="T62" s="306"/>
      <c r="U62" s="306"/>
      <c r="V62" s="306"/>
      <c r="W62" s="285"/>
      <c r="X62" s="285"/>
    </row>
    <row r="63" spans="6:24">
      <c r="G63" s="247" t="s">
        <v>290</v>
      </c>
      <c r="I63" s="285"/>
      <c r="K63" s="70">
        <v>1</v>
      </c>
      <c r="L63" s="285"/>
      <c r="M63" s="285"/>
      <c r="N63" s="285"/>
      <c r="O63" s="285"/>
      <c r="P63" s="69">
        <f>+K63*(M63+2*L63)*(N63+2*L63)</f>
        <v>0</v>
      </c>
      <c r="Q63" s="69"/>
      <c r="R63" s="285"/>
      <c r="S63" s="306"/>
      <c r="T63" s="306"/>
      <c r="U63" s="306"/>
      <c r="V63" s="306"/>
      <c r="W63" s="285"/>
      <c r="X63" s="285"/>
    </row>
    <row r="64" spans="6:24">
      <c r="G64" s="247"/>
      <c r="I64" s="70"/>
      <c r="K64" s="70"/>
      <c r="L64" s="285"/>
      <c r="M64" s="285"/>
      <c r="N64" s="285"/>
      <c r="O64" s="285"/>
      <c r="P64" s="306"/>
      <c r="Q64" s="306"/>
      <c r="R64" s="285"/>
      <c r="S64" s="306"/>
      <c r="T64" s="306"/>
      <c r="U64" s="306"/>
      <c r="V64" s="306"/>
      <c r="W64" s="285"/>
      <c r="X64" s="285"/>
    </row>
    <row r="65" spans="6:24">
      <c r="F65" s="293" t="s">
        <v>233</v>
      </c>
      <c r="G65" s="295"/>
      <c r="H65" s="295"/>
      <c r="I65" s="296"/>
      <c r="J65" s="295"/>
      <c r="K65" s="295"/>
      <c r="L65" s="296"/>
      <c r="M65" s="296"/>
      <c r="N65" s="296"/>
      <c r="O65" s="296" t="s">
        <v>163</v>
      </c>
      <c r="P65" s="369">
        <v>4</v>
      </c>
      <c r="Q65" s="369"/>
      <c r="S65" s="306"/>
      <c r="T65" s="306"/>
      <c r="U65" s="306"/>
      <c r="V65" s="306"/>
    </row>
    <row r="66" spans="6:24">
      <c r="G66" s="247" t="s">
        <v>315</v>
      </c>
      <c r="I66" s="70"/>
      <c r="K66" s="70">
        <v>3</v>
      </c>
      <c r="L66" s="285"/>
      <c r="M66" s="285">
        <v>1.1000000000000001</v>
      </c>
      <c r="N66" s="285"/>
      <c r="O66" s="285"/>
      <c r="P66" s="69">
        <f>+PRODUCT(K66:O66)</f>
        <v>3.3000000000000003</v>
      </c>
      <c r="Q66" s="69"/>
      <c r="S66" s="306"/>
      <c r="T66" s="306"/>
      <c r="U66" s="306"/>
      <c r="V66" s="306"/>
    </row>
    <row r="67" spans="6:24">
      <c r="F67" s="67"/>
      <c r="G67" s="247" t="s">
        <v>316</v>
      </c>
      <c r="H67" s="285"/>
      <c r="I67" s="70"/>
      <c r="K67" s="70">
        <v>1</v>
      </c>
      <c r="L67" s="285"/>
      <c r="M67" s="285">
        <v>1.1000000000000001</v>
      </c>
      <c r="N67" s="285"/>
      <c r="O67" s="285"/>
      <c r="P67" s="69">
        <f>+PRODUCT(K67:O67)</f>
        <v>1.1000000000000001</v>
      </c>
      <c r="Q67" s="69"/>
      <c r="S67" s="306"/>
      <c r="T67" s="306"/>
      <c r="U67" s="306"/>
      <c r="V67" s="306"/>
    </row>
    <row r="68" spans="6:24">
      <c r="F68" s="67"/>
      <c r="G68" s="247"/>
      <c r="H68" s="285"/>
      <c r="I68" s="70"/>
      <c r="K68" s="70"/>
      <c r="L68" s="285"/>
      <c r="M68" s="285"/>
      <c r="N68" s="285"/>
      <c r="O68" s="285"/>
      <c r="P68" s="306"/>
      <c r="Q68" s="306"/>
      <c r="T68" s="306"/>
      <c r="U68" s="306"/>
      <c r="V68" s="306"/>
    </row>
    <row r="69" spans="6:24">
      <c r="F69" s="293" t="s">
        <v>301</v>
      </c>
      <c r="G69" s="295"/>
      <c r="H69" s="295"/>
      <c r="I69" s="296"/>
      <c r="J69" s="295"/>
      <c r="K69" s="295"/>
      <c r="L69" s="296"/>
      <c r="M69" s="296"/>
      <c r="N69" s="296"/>
      <c r="O69" s="296" t="s">
        <v>133</v>
      </c>
      <c r="P69" s="369">
        <f>SUM(P70:Q72)</f>
        <v>40.5</v>
      </c>
      <c r="Q69" s="369"/>
      <c r="S69" s="306"/>
      <c r="T69" s="306"/>
      <c r="U69" s="306"/>
      <c r="V69" s="306"/>
    </row>
    <row r="70" spans="6:24">
      <c r="G70" s="247" t="s">
        <v>317</v>
      </c>
      <c r="I70" s="70"/>
      <c r="K70" s="70">
        <v>1</v>
      </c>
      <c r="L70" s="285"/>
      <c r="M70" s="285">
        <v>22</v>
      </c>
      <c r="N70" s="285">
        <v>1.5</v>
      </c>
      <c r="O70" s="285"/>
      <c r="P70" s="69">
        <f>+PRODUCT(K70:O70)</f>
        <v>33</v>
      </c>
      <c r="Q70" s="69"/>
      <c r="S70" s="306"/>
      <c r="T70" s="306"/>
      <c r="U70" s="306"/>
      <c r="V70" s="306"/>
    </row>
    <row r="71" spans="6:24">
      <c r="G71" s="247" t="s">
        <v>290</v>
      </c>
      <c r="I71" s="70"/>
      <c r="K71" s="70">
        <v>1</v>
      </c>
      <c r="L71" s="285"/>
      <c r="M71" s="285">
        <v>5</v>
      </c>
      <c r="N71" s="285">
        <v>1.5</v>
      </c>
      <c r="O71" s="285"/>
      <c r="P71" s="69">
        <f>+PRODUCT(K71:O71)</f>
        <v>7.5</v>
      </c>
      <c r="Q71" s="69"/>
      <c r="R71" s="285"/>
      <c r="S71" s="285"/>
      <c r="T71" s="285"/>
      <c r="U71" s="285"/>
      <c r="V71" s="285"/>
      <c r="W71" s="285"/>
      <c r="X71" s="285"/>
    </row>
    <row r="72" spans="6:24">
      <c r="F72" s="247"/>
      <c r="G72" s="247"/>
      <c r="I72" s="70"/>
      <c r="K72" s="70"/>
      <c r="L72" s="285"/>
      <c r="M72" s="285"/>
      <c r="N72" s="285"/>
      <c r="O72" s="285"/>
      <c r="P72" s="306"/>
      <c r="Q72" s="306"/>
    </row>
    <row r="73" spans="6:24">
      <c r="F73" s="293" t="s">
        <v>320</v>
      </c>
      <c r="G73" s="295"/>
      <c r="H73" s="295"/>
      <c r="I73" s="296"/>
      <c r="J73" s="295"/>
      <c r="K73" s="295"/>
      <c r="L73" s="296"/>
      <c r="M73" s="296"/>
      <c r="N73" s="296"/>
      <c r="O73" s="296" t="s">
        <v>163</v>
      </c>
      <c r="P73" s="369">
        <f>SUM(P74:Q75)</f>
        <v>1</v>
      </c>
      <c r="Q73" s="369"/>
      <c r="R73" s="285"/>
      <c r="S73" s="285"/>
      <c r="T73" s="285"/>
      <c r="U73" s="285"/>
      <c r="V73" s="285"/>
      <c r="W73" s="285"/>
      <c r="X73" s="285"/>
    </row>
    <row r="74" spans="6:24">
      <c r="G74" s="247" t="s">
        <v>321</v>
      </c>
      <c r="I74" s="70"/>
      <c r="K74" s="70">
        <v>1</v>
      </c>
      <c r="L74" s="285"/>
      <c r="M74" s="285"/>
      <c r="N74" s="285"/>
      <c r="O74" s="285"/>
      <c r="P74" s="69">
        <f>+PRODUCT(K74:O74)</f>
        <v>1</v>
      </c>
      <c r="Q74" s="69"/>
      <c r="R74" s="285"/>
      <c r="S74" s="285"/>
      <c r="T74" s="285"/>
      <c r="U74" s="285"/>
      <c r="V74" s="285"/>
      <c r="W74" s="285"/>
      <c r="X74" s="285"/>
    </row>
    <row r="75" spans="6:24">
      <c r="F75" s="247"/>
      <c r="G75" s="247"/>
      <c r="I75" s="70"/>
      <c r="K75" s="70"/>
      <c r="L75" s="285"/>
      <c r="M75" s="285"/>
      <c r="N75" s="285"/>
      <c r="O75" s="285"/>
      <c r="P75" s="306"/>
      <c r="Q75" s="306"/>
      <c r="R75" s="285"/>
      <c r="S75" s="285"/>
      <c r="T75" s="285"/>
      <c r="U75" s="285"/>
      <c r="V75" s="285"/>
      <c r="W75" s="285"/>
      <c r="X75" s="285"/>
    </row>
    <row r="76" spans="6:24">
      <c r="F76" s="293" t="s">
        <v>236</v>
      </c>
      <c r="G76" s="295"/>
      <c r="H76" s="295"/>
      <c r="I76" s="296"/>
      <c r="J76" s="295"/>
      <c r="K76" s="295"/>
      <c r="L76" s="296"/>
      <c r="M76" s="296"/>
      <c r="N76" s="296"/>
      <c r="O76" s="296" t="s">
        <v>161</v>
      </c>
      <c r="P76" s="369">
        <f>SUM(P77:Q82)</f>
        <v>20</v>
      </c>
      <c r="Q76" s="369"/>
    </row>
    <row r="77" spans="6:24">
      <c r="G77" s="247" t="s">
        <v>310</v>
      </c>
      <c r="I77" s="70"/>
      <c r="K77" s="70">
        <v>1</v>
      </c>
      <c r="L77" s="285"/>
      <c r="M77" s="285">
        <v>3</v>
      </c>
      <c r="N77" s="285"/>
      <c r="O77" s="285"/>
      <c r="P77" s="69">
        <f>+PRODUCT(K77:O77)</f>
        <v>3</v>
      </c>
      <c r="Q77" s="69"/>
    </row>
    <row r="78" spans="6:24">
      <c r="G78" s="247" t="s">
        <v>311</v>
      </c>
      <c r="I78" s="70"/>
      <c r="K78" s="70">
        <v>1</v>
      </c>
      <c r="L78" s="285"/>
      <c r="M78" s="285">
        <v>3</v>
      </c>
      <c r="N78" s="285"/>
      <c r="O78" s="285"/>
      <c r="P78" s="69">
        <f>+PRODUCT(K78:O78)</f>
        <v>3</v>
      </c>
      <c r="Q78" s="69"/>
      <c r="R78" s="285"/>
      <c r="S78" s="285"/>
      <c r="T78" s="285"/>
      <c r="U78" s="285"/>
      <c r="V78" s="285"/>
      <c r="W78" s="285"/>
      <c r="X78" s="285"/>
    </row>
    <row r="79" spans="6:24">
      <c r="G79" s="247" t="s">
        <v>312</v>
      </c>
      <c r="I79" s="70"/>
      <c r="K79" s="70">
        <v>1</v>
      </c>
      <c r="L79" s="285"/>
      <c r="M79" s="285">
        <v>3</v>
      </c>
      <c r="N79" s="285"/>
      <c r="O79" s="285"/>
      <c r="P79" s="69">
        <f>+PRODUCT(K79:O79)</f>
        <v>3</v>
      </c>
      <c r="Q79" s="69"/>
    </row>
    <row r="80" spans="6:24">
      <c r="G80" s="247" t="s">
        <v>313</v>
      </c>
      <c r="I80" s="70"/>
      <c r="K80" s="70">
        <v>1</v>
      </c>
      <c r="L80" s="285"/>
      <c r="M80" s="285">
        <v>3</v>
      </c>
      <c r="N80" s="285"/>
      <c r="O80" s="285"/>
      <c r="P80" s="69">
        <f>+PRODUCT(K80:O80)</f>
        <v>3</v>
      </c>
      <c r="Q80" s="69"/>
    </row>
    <row r="81" spans="1:74" s="70" customFormat="1">
      <c r="A81" s="67"/>
      <c r="B81" s="67"/>
      <c r="G81" s="247" t="s">
        <v>314</v>
      </c>
      <c r="K81" s="70">
        <v>2</v>
      </c>
      <c r="L81" s="285"/>
      <c r="M81" s="285">
        <v>4</v>
      </c>
      <c r="N81" s="285"/>
      <c r="O81" s="285"/>
      <c r="P81" s="69">
        <f>+PRODUCT(K81:O81)</f>
        <v>8</v>
      </c>
      <c r="Q81" s="69"/>
      <c r="R81" s="78"/>
      <c r="S81" s="78"/>
      <c r="T81" s="78"/>
      <c r="U81" s="78"/>
      <c r="V81" s="78"/>
      <c r="W81" s="78"/>
      <c r="X81" s="78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N81" s="67"/>
      <c r="BO81" s="67"/>
      <c r="BP81" s="67"/>
      <c r="BQ81" s="67"/>
      <c r="BR81" s="67"/>
      <c r="BS81" s="67"/>
      <c r="BT81" s="67"/>
      <c r="BU81" s="67"/>
      <c r="BV81" s="67"/>
    </row>
    <row r="82" spans="1:74" s="70" customFormat="1">
      <c r="A82" s="67"/>
      <c r="B82" s="67"/>
      <c r="G82" s="247"/>
      <c r="K82" s="285"/>
      <c r="L82" s="285"/>
      <c r="M82" s="285"/>
      <c r="N82" s="285"/>
      <c r="O82" s="285"/>
      <c r="P82" s="69">
        <f t="shared" ref="P82:P99" si="96">+PRODUCT(J82:O82)</f>
        <v>0</v>
      </c>
      <c r="Q82" s="69"/>
      <c r="R82" s="78"/>
      <c r="S82" s="78"/>
      <c r="T82" s="78"/>
      <c r="U82" s="78"/>
      <c r="V82" s="78"/>
      <c r="W82" s="78"/>
      <c r="X82" s="78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N82" s="67"/>
      <c r="BO82" s="67"/>
      <c r="BP82" s="67"/>
      <c r="BQ82" s="67"/>
      <c r="BR82" s="67"/>
      <c r="BS82" s="67"/>
      <c r="BT82" s="67"/>
      <c r="BU82" s="67"/>
      <c r="BV82" s="67"/>
    </row>
    <row r="83" spans="1:74">
      <c r="F83" s="293" t="s">
        <v>302</v>
      </c>
      <c r="G83" s="295"/>
      <c r="H83" s="295"/>
      <c r="I83" s="296"/>
      <c r="J83" s="295"/>
      <c r="K83" s="295"/>
      <c r="L83" s="296"/>
      <c r="M83" s="296"/>
      <c r="N83" s="296"/>
      <c r="O83" s="296" t="s">
        <v>133</v>
      </c>
      <c r="P83" s="369">
        <f>SUM(P84:Q85)</f>
        <v>72</v>
      </c>
      <c r="Q83" s="369"/>
    </row>
    <row r="84" spans="1:74">
      <c r="G84" s="247" t="s">
        <v>309</v>
      </c>
      <c r="I84" s="70"/>
      <c r="K84" s="70">
        <v>1</v>
      </c>
      <c r="L84" s="285"/>
      <c r="M84" s="285">
        <v>24</v>
      </c>
      <c r="N84" s="285">
        <v>3</v>
      </c>
      <c r="O84" s="285"/>
      <c r="P84" s="69">
        <f>+PRODUCT(K84:O84)</f>
        <v>72</v>
      </c>
      <c r="Q84" s="69"/>
    </row>
    <row r="85" spans="1:74">
      <c r="G85" s="247"/>
      <c r="I85" s="70"/>
      <c r="K85" s="285"/>
      <c r="L85" s="285"/>
      <c r="M85" s="285"/>
      <c r="N85" s="285"/>
      <c r="O85" s="285"/>
      <c r="P85" s="69">
        <f t="shared" si="96"/>
        <v>0</v>
      </c>
      <c r="Q85" s="69"/>
    </row>
    <row r="86" spans="1:74">
      <c r="F86" s="293" t="s">
        <v>249</v>
      </c>
      <c r="G86" s="295"/>
      <c r="H86" s="295"/>
      <c r="I86" s="296"/>
      <c r="J86" s="295"/>
      <c r="K86" s="295"/>
      <c r="L86" s="296"/>
      <c r="M86" s="296"/>
      <c r="N86" s="296"/>
      <c r="O86" s="296" t="s">
        <v>163</v>
      </c>
      <c r="P86" s="369">
        <f>SUM(P87:Q88)</f>
        <v>238</v>
      </c>
      <c r="Q86" s="369"/>
    </row>
    <row r="87" spans="1:74">
      <c r="G87" s="247" t="s">
        <v>251</v>
      </c>
      <c r="I87" s="70"/>
      <c r="K87" s="70">
        <v>1</v>
      </c>
      <c r="L87" s="285"/>
      <c r="M87" s="285">
        <v>238</v>
      </c>
      <c r="N87" s="285"/>
      <c r="O87" s="285"/>
      <c r="P87" s="69">
        <f t="shared" ref="P87" si="97">+PRODUCT(J87:O87)</f>
        <v>238</v>
      </c>
      <c r="Q87" s="69"/>
    </row>
    <row r="88" spans="1:74">
      <c r="F88" s="67"/>
      <c r="G88" s="247"/>
      <c r="I88" s="70"/>
      <c r="K88" s="285"/>
      <c r="L88" s="285"/>
      <c r="M88" s="285"/>
      <c r="N88" s="285"/>
      <c r="O88" s="285"/>
      <c r="P88" s="69">
        <f t="shared" si="96"/>
        <v>0</v>
      </c>
      <c r="Q88" s="69"/>
    </row>
    <row r="89" spans="1:74">
      <c r="F89" s="293" t="s">
        <v>257</v>
      </c>
      <c r="G89" s="295"/>
      <c r="H89" s="295"/>
      <c r="I89" s="296"/>
      <c r="J89" s="295"/>
      <c r="K89" s="295"/>
      <c r="L89" s="296"/>
      <c r="M89" s="296"/>
      <c r="N89" s="296"/>
      <c r="O89" s="296" t="s">
        <v>133</v>
      </c>
      <c r="P89" s="369">
        <f>SUM(P90:Q92)</f>
        <v>30</v>
      </c>
      <c r="Q89" s="369"/>
    </row>
    <row r="90" spans="1:74">
      <c r="G90" s="247" t="s">
        <v>318</v>
      </c>
      <c r="I90" s="70"/>
      <c r="K90" s="70">
        <v>1</v>
      </c>
      <c r="L90" s="285"/>
      <c r="M90" s="285">
        <v>5</v>
      </c>
      <c r="N90" s="285">
        <v>3</v>
      </c>
      <c r="O90" s="285"/>
      <c r="P90" s="69">
        <f>+PRODUCT(K90:O90)</f>
        <v>15</v>
      </c>
      <c r="Q90" s="69"/>
    </row>
    <row r="91" spans="1:74">
      <c r="G91" s="247" t="s">
        <v>319</v>
      </c>
      <c r="I91" s="70"/>
      <c r="K91" s="70">
        <v>1</v>
      </c>
      <c r="L91" s="285"/>
      <c r="M91" s="285">
        <v>10</v>
      </c>
      <c r="N91" s="285">
        <v>1.5</v>
      </c>
      <c r="O91" s="285"/>
      <c r="P91" s="69">
        <f>+PRODUCT(K91:O91)</f>
        <v>15</v>
      </c>
      <c r="Q91" s="69"/>
    </row>
    <row r="92" spans="1:74">
      <c r="G92" s="247"/>
      <c r="I92" s="70"/>
      <c r="K92" s="70"/>
      <c r="L92" s="285"/>
      <c r="M92" s="285"/>
      <c r="N92" s="285"/>
      <c r="O92" s="285"/>
      <c r="P92" s="758">
        <f t="shared" si="96"/>
        <v>0</v>
      </c>
      <c r="Q92" s="758"/>
    </row>
    <row r="93" spans="1:74">
      <c r="G93" s="247"/>
      <c r="I93" s="70"/>
      <c r="K93" s="285"/>
      <c r="L93" s="285"/>
      <c r="M93" s="285"/>
      <c r="N93" s="285"/>
      <c r="O93" s="285"/>
      <c r="P93" s="758">
        <f t="shared" si="96"/>
        <v>0</v>
      </c>
      <c r="Q93" s="758"/>
    </row>
    <row r="94" spans="1:74">
      <c r="C94" s="247"/>
      <c r="D94" s="247"/>
      <c r="E94" s="247"/>
      <c r="F94" s="247"/>
      <c r="G94" s="247"/>
      <c r="H94" s="247"/>
      <c r="I94" s="70"/>
      <c r="K94" s="285"/>
      <c r="L94" s="285"/>
      <c r="M94" s="285"/>
      <c r="N94" s="285"/>
      <c r="O94" s="285"/>
      <c r="P94" s="758">
        <f t="shared" si="96"/>
        <v>0</v>
      </c>
      <c r="Q94" s="758"/>
    </row>
    <row r="95" spans="1:74">
      <c r="C95" s="247"/>
      <c r="D95" s="247"/>
      <c r="E95" s="247"/>
      <c r="F95" s="247"/>
      <c r="G95" s="247"/>
      <c r="H95" s="247"/>
      <c r="I95" s="70"/>
      <c r="K95" s="285"/>
      <c r="L95" s="285"/>
      <c r="M95" s="285"/>
      <c r="N95" s="285"/>
      <c r="O95" s="285"/>
      <c r="P95" s="758">
        <f t="shared" si="96"/>
        <v>0</v>
      </c>
      <c r="Q95" s="758"/>
    </row>
    <row r="96" spans="1:74">
      <c r="C96" s="247"/>
      <c r="D96" s="247"/>
      <c r="E96" s="247"/>
      <c r="F96" s="247"/>
      <c r="G96" s="247"/>
      <c r="H96" s="247"/>
      <c r="I96" s="70"/>
      <c r="K96" s="285"/>
      <c r="L96" s="285"/>
      <c r="M96" s="285"/>
      <c r="N96" s="285"/>
      <c r="O96" s="285"/>
      <c r="P96" s="758">
        <f t="shared" si="96"/>
        <v>0</v>
      </c>
      <c r="Q96" s="758"/>
    </row>
    <row r="97" spans="3:17">
      <c r="C97" s="247"/>
      <c r="D97" s="247"/>
      <c r="E97" s="247"/>
      <c r="F97" s="247"/>
      <c r="G97" s="247"/>
      <c r="H97" s="247"/>
      <c r="I97" s="70"/>
      <c r="K97" s="285"/>
      <c r="L97" s="285"/>
      <c r="M97" s="285"/>
      <c r="N97" s="285"/>
      <c r="O97" s="285"/>
      <c r="P97" s="758">
        <f t="shared" si="96"/>
        <v>0</v>
      </c>
      <c r="Q97" s="758"/>
    </row>
    <row r="98" spans="3:17">
      <c r="G98" s="247"/>
      <c r="I98" s="70"/>
      <c r="K98" s="285"/>
      <c r="L98" s="285"/>
      <c r="M98" s="285"/>
      <c r="N98" s="285"/>
      <c r="O98" s="285"/>
      <c r="P98" s="758">
        <f t="shared" si="96"/>
        <v>0</v>
      </c>
      <c r="Q98" s="758"/>
    </row>
    <row r="99" spans="3:17">
      <c r="G99" s="247"/>
      <c r="I99" s="70"/>
      <c r="K99" s="285"/>
      <c r="L99" s="285"/>
      <c r="M99" s="285"/>
      <c r="N99" s="285"/>
      <c r="O99" s="285"/>
      <c r="P99" s="758">
        <f t="shared" si="96"/>
        <v>0</v>
      </c>
      <c r="Q99" s="758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F19" sqref="F1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8">
    <mergeCell ref="C14:C40"/>
    <mergeCell ref="Y43:AH43"/>
    <mergeCell ref="AI43:AR43"/>
    <mergeCell ref="AS43:BB43"/>
    <mergeCell ref="BL10:BL12"/>
    <mergeCell ref="BM10:BM12"/>
    <mergeCell ref="D11:E11"/>
    <mergeCell ref="F11:H11"/>
    <mergeCell ref="I11:J11"/>
    <mergeCell ref="R11:S11"/>
    <mergeCell ref="T11:U11"/>
    <mergeCell ref="C3:BJ3"/>
    <mergeCell ref="C10:X10"/>
    <mergeCell ref="Y10:AH10"/>
    <mergeCell ref="AI10:AR10"/>
    <mergeCell ref="AS10:BB10"/>
    <mergeCell ref="BF10:BH10"/>
    <mergeCell ref="P99:Q99"/>
    <mergeCell ref="P92:Q92"/>
    <mergeCell ref="P93:Q93"/>
    <mergeCell ref="P94:Q94"/>
    <mergeCell ref="P95:Q95"/>
    <mergeCell ref="P96:Q96"/>
    <mergeCell ref="S46:U46"/>
    <mergeCell ref="S52:U52"/>
    <mergeCell ref="S57:U57"/>
    <mergeCell ref="P97:Q97"/>
    <mergeCell ref="P98:Q9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ignoredErrors>
    <ignoredError sqref="L25" 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25</vt:i4>
      </vt:variant>
    </vt:vector>
  </HeadingPairs>
  <TitlesOfParts>
    <vt:vector size="40" baseType="lpstr">
      <vt:lpstr>RESUMEN GENERAL BASE</vt:lpstr>
      <vt:lpstr>Resúmen</vt:lpstr>
      <vt:lpstr>Mejoramientos</vt:lpstr>
      <vt:lpstr>Interferencias</vt:lpstr>
      <vt:lpstr>F-1</vt:lpstr>
      <vt:lpstr>F-2</vt:lpstr>
      <vt:lpstr>F-3</vt:lpstr>
      <vt:lpstr>Líneas de Impulsión</vt:lpstr>
      <vt:lpstr>F-5</vt:lpstr>
      <vt:lpstr>Accesorios</vt:lpstr>
      <vt:lpstr>F-1 (Cámaras)</vt:lpstr>
      <vt:lpstr>F-2 (Cámaras)</vt:lpstr>
      <vt:lpstr>F-3 (Cámaras)</vt:lpstr>
      <vt:lpstr>F-4 (Cámaras)</vt:lpstr>
      <vt:lpstr>F-5 (Cámaras)</vt:lpstr>
      <vt:lpstr>Accesorios!Área_de_impresión</vt:lpstr>
      <vt:lpstr>'F-1'!Área_de_impresión</vt:lpstr>
      <vt:lpstr>'F-1 (Cámaras)'!Área_de_impresión</vt:lpstr>
      <vt:lpstr>'F-2'!Área_de_impresión</vt:lpstr>
      <vt:lpstr>'F-2 (Cámaras)'!Área_de_impresión</vt:lpstr>
      <vt:lpstr>'F-3'!Área_de_impresión</vt:lpstr>
      <vt:lpstr>'F-3 (Cámaras)'!Área_de_impresión</vt:lpstr>
      <vt:lpstr>'F-4 (Cámaras)'!Área_de_impresión</vt:lpstr>
      <vt:lpstr>'F-5'!Área_de_impresión</vt:lpstr>
      <vt:lpstr>'F-5 (Cámaras)'!Área_de_impresión</vt:lpstr>
      <vt:lpstr>Interferencias!Área_de_impresión</vt:lpstr>
      <vt:lpstr>'Líneas de Impulsión'!Área_de_impresión</vt:lpstr>
      <vt:lpstr>Mejoramientos!Área_de_impresión</vt:lpstr>
      <vt:lpstr>Resúmen!Área_de_impresión</vt:lpstr>
      <vt:lpstr>'RESUMEN GENERAL BASE'!Área_de_impresión</vt:lpstr>
      <vt:lpstr>Accesorios!Títulos_a_imprimir</vt:lpstr>
      <vt:lpstr>'F-1 (Cámaras)'!Títulos_a_imprimir</vt:lpstr>
      <vt:lpstr>'F-2 (Cámaras)'!Títulos_a_imprimir</vt:lpstr>
      <vt:lpstr>'F-3 (Cámaras)'!Títulos_a_imprimir</vt:lpstr>
      <vt:lpstr>'F-4 (Cámaras)'!Títulos_a_imprimir</vt:lpstr>
      <vt:lpstr>'F-5 (Cámaras)'!Títulos_a_imprimir</vt:lpstr>
      <vt:lpstr>Interferencias!Títulos_a_imprimir</vt:lpstr>
      <vt:lpstr>Mejoramientos!Títulos_a_imprimir</vt:lpstr>
      <vt:lpstr>Resúmen!Títulos_a_imprimir</vt:lpstr>
      <vt:lpstr>'RESUMEN GENERAL BASE'!Títulos_a_imprimir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sedapal</cp:lastModifiedBy>
  <cp:lastPrinted>2017-10-04T22:55:58Z</cp:lastPrinted>
  <dcterms:created xsi:type="dcterms:W3CDTF">2016-12-22T16:04:01Z</dcterms:created>
  <dcterms:modified xsi:type="dcterms:W3CDTF">2018-07-24T20:02:17Z</dcterms:modified>
</cp:coreProperties>
</file>